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7.xml" ContentType="application/vnd.openxmlformats-officedocument.drawing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drawings/drawing1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omments3.xml" ContentType="application/vnd.openxmlformats-officedocument.spreadsheetml.comments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15" yWindow="-150" windowWidth="8715" windowHeight="11595" tabRatio="887" firstSheet="1" activeTab="3"/>
  </bookViews>
  <sheets>
    <sheet name="VXXXX" sheetId="7" state="veryHidden" r:id="rId1"/>
    <sheet name="001-잔디" sheetId="8866" r:id="rId2"/>
    <sheet name="잔디-표지" sheetId="8903" r:id="rId3"/>
    <sheet name="002-줄떼" sheetId="8865" r:id="rId4"/>
    <sheet name="003-평떼" sheetId="8867" r:id="rId5"/>
    <sheet name="이지그린매트-표지" sheetId="8904" r:id="rId6"/>
    <sheet name="004-이지그린매트" sheetId="8869" r:id="rId7"/>
    <sheet name="005-이지그린매트(A Type)" sheetId="8870" r:id="rId8"/>
    <sheet name="006-이지그린매트(B Type)" sheetId="8868" r:id="rId9"/>
    <sheet name="007-이지그린매트(C Type)" sheetId="8871" r:id="rId10"/>
    <sheet name="테라토-표지" sheetId="8911" r:id="rId11"/>
    <sheet name="테라토5-목록" sheetId="8912" r:id="rId12"/>
    <sheet name="테라토5-일위대가" sheetId="8913" r:id="rId13"/>
    <sheet name="테라토5-장비" sheetId="8914" r:id="rId14"/>
    <sheet name="테라토5-장비기준" sheetId="8915" r:id="rId15"/>
    <sheet name="테라토5-단가적용" sheetId="8916" r:id="rId16"/>
    <sheet name="테라토7-목록" sheetId="8917" r:id="rId17"/>
    <sheet name="테라토7-일위대가" sheetId="8918" r:id="rId18"/>
    <sheet name="테라토7-장비" sheetId="8919" r:id="rId19"/>
    <sheet name="테라토7-장비기준" sheetId="8920" r:id="rId20"/>
    <sheet name="테라토7-단가적용" sheetId="8921" r:id="rId21"/>
    <sheet name="테라토10-목록" sheetId="8922" r:id="rId22"/>
    <sheet name="테라토10-일위대가" sheetId="8923" r:id="rId23"/>
    <sheet name="테라토10-장비" sheetId="8924" r:id="rId24"/>
    <sheet name="테라토10-장비기준" sheetId="8925" r:id="rId25"/>
    <sheet name="테라토10-단가적용" sheetId="8926" r:id="rId26"/>
    <sheet name="JSB-표지" sheetId="8905" r:id="rId27"/>
    <sheet name="008-JSB무망-Seed형" sheetId="8872" r:id="rId28"/>
    <sheet name="009-JSB무망-2CM" sheetId="8873" r:id="rId29"/>
    <sheet name="010-JSB섬유망3CM" sheetId="8874" r:id="rId30"/>
    <sheet name="011-JSB섬유망5CM" sheetId="8877" r:id="rId31"/>
    <sheet name="012-JSB섬유망7CM" sheetId="8876" r:id="rId32"/>
    <sheet name="013-JSB철망5CM" sheetId="8875" r:id="rId33"/>
    <sheet name="014-JSB철망7CM" sheetId="8878" r:id="rId34"/>
    <sheet name="015-JSB철망10CM" sheetId="8879" r:id="rId35"/>
    <sheet name="016-JSB철망12CM" sheetId="8880" r:id="rId36"/>
    <sheet name="ASNA-표지" sheetId="8906" r:id="rId37"/>
    <sheet name="017-ASNA-일위대가(무망0.5~유망5)" sheetId="8881" r:id="rId38"/>
    <sheet name="018-ASNA-자재산출근거" sheetId="8882" r:id="rId39"/>
    <sheet name="019-ASNA-노무비산출근거" sheetId="8883" r:id="rId40"/>
    <sheet name="020-ASNA-중기산출근거" sheetId="8884" r:id="rId41"/>
    <sheet name="021-ASNA-중기목록" sheetId="8885" r:id="rId42"/>
    <sheet name="SF-표지" sheetId="8907" r:id="rId43"/>
    <sheet name="022-SF-SEED~철망5CM" sheetId="8887" r:id="rId44"/>
    <sheet name="NGR-표지" sheetId="8908" r:id="rId45"/>
    <sheet name="027-NGR-코아네트SEED형" sheetId="8891" r:id="rId46"/>
    <sheet name="MUDPACK-표지" sheetId="8909" r:id="rId47"/>
    <sheet name="028-MUDPACK-spray" sheetId="8897" r:id="rId48"/>
    <sheet name="029-MUDPACK-T=1cm" sheetId="8898" r:id="rId49"/>
    <sheet name="030-MUDPACK-T=3cm " sheetId="8899" r:id="rId50"/>
    <sheet name="031-MUDPACK-T=7cm" sheetId="8900" r:id="rId51"/>
    <sheet name="032-MUDPACK-T=10cm" sheetId="8901" r:id="rId52"/>
    <sheet name="033-MUDPACK-단가산출" sheetId="8902" r:id="rId53"/>
    <sheet name="텍솔-표지" sheetId="8910" r:id="rId54"/>
    <sheet name="034-텍솔" sheetId="8896" r:id="rId55"/>
    <sheet name="1-잔디" sheetId="8836" r:id="rId56"/>
    <sheet name="2-거적" sheetId="8839" r:id="rId57"/>
    <sheet name="2- 코아넷" sheetId="8859" r:id="rId58"/>
    <sheet name="JSB무망" sheetId="8820" r:id="rId59"/>
    <sheet name="JSB섬유망" sheetId="8834" r:id="rId60"/>
    <sheet name="JSB철망" sheetId="8825" r:id="rId61"/>
    <sheet name="SF" sheetId="8850" r:id="rId62"/>
    <sheet name="녹생토" sheetId="8848" r:id="rId63"/>
    <sheet name="5-ASNA" sheetId="8849" r:id="rId64"/>
    <sheet name="6-NGR" sheetId="8858" r:id="rId65"/>
    <sheet name="텍솔" sheetId="8841" r:id="rId66"/>
    <sheet name="8.0자재단가" sheetId="8812" r:id="rId67"/>
    <sheet name="9.0중기목록" sheetId="1911" r:id="rId68"/>
    <sheet name="10.0중기사용료" sheetId="4348" r:id="rId69"/>
    <sheet name="11.0시중노임" sheetId="16" r:id="rId70"/>
    <sheet name="3.0수량표" sheetId="8830" r:id="rId71"/>
    <sheet name="4-금비토" sheetId="8856" r:id="rId72"/>
    <sheet name="3-탑쏘일" sheetId="8853" r:id="rId73"/>
    <sheet name="CODRA" sheetId="8854" r:id="rId74"/>
  </sheets>
  <definedNames>
    <definedName name="\P">#REF!</definedName>
    <definedName name="\X" localSheetId="27">#REF!</definedName>
    <definedName name="\X" localSheetId="28">#REF!</definedName>
    <definedName name="\X" localSheetId="29">#REF!</definedName>
    <definedName name="\X" localSheetId="30">#REF!</definedName>
    <definedName name="\X" localSheetId="31">#REF!</definedName>
    <definedName name="\X" localSheetId="32">#REF!</definedName>
    <definedName name="\X" localSheetId="33">#REF!</definedName>
    <definedName name="\X" localSheetId="34">#REF!</definedName>
    <definedName name="\X" localSheetId="35">#REF!</definedName>
    <definedName name="\X" localSheetId="45">#REF!</definedName>
    <definedName name="\X" localSheetId="54">#REF!</definedName>
    <definedName name="\X" localSheetId="70">#REF!</definedName>
    <definedName name="\X" localSheetId="71">#REF!</definedName>
    <definedName name="\X" localSheetId="64">#REF!</definedName>
    <definedName name="\X" localSheetId="62">#REF!</definedName>
    <definedName name="\X" localSheetId="65">#REF!</definedName>
    <definedName name="\X" localSheetId="58">#REF!</definedName>
    <definedName name="\X" localSheetId="59">#REF!</definedName>
    <definedName name="\X" localSheetId="60">#REF!</definedName>
    <definedName name="\X">#REF!</definedName>
    <definedName name="계약공기" localSheetId="27">#REF!</definedName>
    <definedName name="계약공기" localSheetId="28">#REF!</definedName>
    <definedName name="계약공기" localSheetId="29">#REF!</definedName>
    <definedName name="계약공기" localSheetId="30">#REF!</definedName>
    <definedName name="계약공기" localSheetId="31">#REF!</definedName>
    <definedName name="계약공기" localSheetId="32">#REF!</definedName>
    <definedName name="계약공기" localSheetId="33">#REF!</definedName>
    <definedName name="계약공기" localSheetId="34">#REF!</definedName>
    <definedName name="계약공기" localSheetId="35">#REF!</definedName>
    <definedName name="계약공기" localSheetId="45">#REF!</definedName>
    <definedName name="계약공기" localSheetId="54">#REF!</definedName>
    <definedName name="계약공기" localSheetId="70">#REF!</definedName>
    <definedName name="계약공기" localSheetId="71">#REF!</definedName>
    <definedName name="계약공기" localSheetId="64">#REF!</definedName>
    <definedName name="계약공기" localSheetId="62">#REF!</definedName>
    <definedName name="계약공기" localSheetId="65">#REF!</definedName>
    <definedName name="계약공기" localSheetId="58">#REF!</definedName>
    <definedName name="계약공기" localSheetId="59">#REF!</definedName>
    <definedName name="계약공기" localSheetId="60">#REF!</definedName>
    <definedName name="계약공기">#REF!</definedName>
    <definedName name="공기" localSheetId="27">#REF!</definedName>
    <definedName name="공기" localSheetId="28">#REF!</definedName>
    <definedName name="공기" localSheetId="29">#REF!</definedName>
    <definedName name="공기" localSheetId="30">#REF!</definedName>
    <definedName name="공기" localSheetId="31">#REF!</definedName>
    <definedName name="공기" localSheetId="32">#REF!</definedName>
    <definedName name="공기" localSheetId="33">#REF!</definedName>
    <definedName name="공기" localSheetId="34">#REF!</definedName>
    <definedName name="공기" localSheetId="35">#REF!</definedName>
    <definedName name="공기" localSheetId="45">#REF!</definedName>
    <definedName name="공기" localSheetId="54">#REF!</definedName>
    <definedName name="공기" localSheetId="70">#REF!</definedName>
    <definedName name="공기" localSheetId="71">#REF!</definedName>
    <definedName name="공기" localSheetId="64">#REF!</definedName>
    <definedName name="공기" localSheetId="62">#REF!</definedName>
    <definedName name="공기" localSheetId="65">#REF!</definedName>
    <definedName name="공기" localSheetId="58">#REF!</definedName>
    <definedName name="공기" localSheetId="59">#REF!</definedName>
    <definedName name="공기" localSheetId="60">#REF!</definedName>
    <definedName name="공기">#REF!</definedName>
    <definedName name="도급가" localSheetId="27">#REF!</definedName>
    <definedName name="도급가" localSheetId="28">#REF!</definedName>
    <definedName name="도급가" localSheetId="29">#REF!</definedName>
    <definedName name="도급가" localSheetId="30">#REF!</definedName>
    <definedName name="도급가" localSheetId="31">#REF!</definedName>
    <definedName name="도급가" localSheetId="32">#REF!</definedName>
    <definedName name="도급가" localSheetId="33">#REF!</definedName>
    <definedName name="도급가" localSheetId="34">#REF!</definedName>
    <definedName name="도급가" localSheetId="35">#REF!</definedName>
    <definedName name="도급가" localSheetId="45">#REF!</definedName>
    <definedName name="도급가" localSheetId="54">#REF!</definedName>
    <definedName name="도급가" localSheetId="70">#REF!</definedName>
    <definedName name="도급가" localSheetId="71">#REF!</definedName>
    <definedName name="도급가" localSheetId="64">#REF!</definedName>
    <definedName name="도급가" localSheetId="62">#REF!</definedName>
    <definedName name="도급가" localSheetId="65">#REF!</definedName>
    <definedName name="도급가" localSheetId="58">#REF!</definedName>
    <definedName name="도급가" localSheetId="59">#REF!</definedName>
    <definedName name="도급가" localSheetId="60">#REF!</definedName>
    <definedName name="도급가">#REF!</definedName>
    <definedName name="실행공기" localSheetId="27">#REF!</definedName>
    <definedName name="실행공기" localSheetId="28">#REF!</definedName>
    <definedName name="실행공기" localSheetId="29">#REF!</definedName>
    <definedName name="실행공기" localSheetId="30">#REF!</definedName>
    <definedName name="실행공기" localSheetId="31">#REF!</definedName>
    <definedName name="실행공기" localSheetId="32">#REF!</definedName>
    <definedName name="실행공기" localSheetId="33">#REF!</definedName>
    <definedName name="실행공기" localSheetId="34">#REF!</definedName>
    <definedName name="실행공기" localSheetId="35">#REF!</definedName>
    <definedName name="실행공기" localSheetId="45">#REF!</definedName>
    <definedName name="실행공기" localSheetId="54">#REF!</definedName>
    <definedName name="실행공기" localSheetId="70">#REF!</definedName>
    <definedName name="실행공기" localSheetId="71">#REF!</definedName>
    <definedName name="실행공기" localSheetId="64">#REF!</definedName>
    <definedName name="실행공기" localSheetId="62">#REF!</definedName>
    <definedName name="실행공기" localSheetId="65">#REF!</definedName>
    <definedName name="실행공기" localSheetId="58">#REF!</definedName>
    <definedName name="실행공기" localSheetId="59">#REF!</definedName>
    <definedName name="실행공기" localSheetId="60">#REF!</definedName>
    <definedName name="실행공기">#REF!</definedName>
    <definedName name="ㅇ48" localSheetId="27">#REF!</definedName>
    <definedName name="ㅇ48" localSheetId="28">#REF!</definedName>
    <definedName name="ㅇ48" localSheetId="29">#REF!</definedName>
    <definedName name="ㅇ48" localSheetId="30">#REF!</definedName>
    <definedName name="ㅇ48" localSheetId="31">#REF!</definedName>
    <definedName name="ㅇ48" localSheetId="32">#REF!</definedName>
    <definedName name="ㅇ48" localSheetId="33">#REF!</definedName>
    <definedName name="ㅇ48" localSheetId="34">#REF!</definedName>
    <definedName name="ㅇ48" localSheetId="35">#REF!</definedName>
    <definedName name="ㅇ48" localSheetId="45">#REF!</definedName>
    <definedName name="ㅇ48" localSheetId="54">#REF!</definedName>
    <definedName name="ㅇ48" localSheetId="70">#REF!</definedName>
    <definedName name="ㅇ48" localSheetId="71">#REF!</definedName>
    <definedName name="ㅇ48" localSheetId="64">#REF!</definedName>
    <definedName name="ㅇ48" localSheetId="62">#REF!</definedName>
    <definedName name="ㅇ48" localSheetId="65">#REF!</definedName>
    <definedName name="ㅇ48" localSheetId="58">#REF!</definedName>
    <definedName name="ㅇ48" localSheetId="59">#REF!</definedName>
    <definedName name="ㅇ48" localSheetId="60">#REF!</definedName>
    <definedName name="ㅇ48">#REF!</definedName>
    <definedName name="현장명" localSheetId="27">#REF!</definedName>
    <definedName name="현장명" localSheetId="28">#REF!</definedName>
    <definedName name="현장명" localSheetId="29">#REF!</definedName>
    <definedName name="현장명" localSheetId="30">#REF!</definedName>
    <definedName name="현장명" localSheetId="31">#REF!</definedName>
    <definedName name="현장명" localSheetId="32">#REF!</definedName>
    <definedName name="현장명" localSheetId="33">#REF!</definedName>
    <definedName name="현장명" localSheetId="34">#REF!</definedName>
    <definedName name="현장명" localSheetId="35">#REF!</definedName>
    <definedName name="현장명" localSheetId="45">#REF!</definedName>
    <definedName name="현장명" localSheetId="54">#REF!</definedName>
    <definedName name="현장명" localSheetId="70">#REF!</definedName>
    <definedName name="현장명" localSheetId="71">#REF!</definedName>
    <definedName name="현장명" localSheetId="64">#REF!</definedName>
    <definedName name="현장명" localSheetId="62">#REF!</definedName>
    <definedName name="현장명" localSheetId="65">#REF!</definedName>
    <definedName name="현장명" localSheetId="58">#REF!</definedName>
    <definedName name="현장명" localSheetId="59">#REF!</definedName>
    <definedName name="현장명" localSheetId="60">#REF!</definedName>
    <definedName name="현장명">#REF!</definedName>
    <definedName name="_xlnm.Print_Area" localSheetId="7">'005-이지그린매트(A Type)'!$A$1:$M$18</definedName>
    <definedName name="_xlnm.Print_Area" localSheetId="8">'006-이지그린매트(B Type)'!$A$1:$M$18</definedName>
    <definedName name="_xlnm.Print_Area" localSheetId="9">'007-이지그린매트(C Type)'!$A$1:$M$18</definedName>
    <definedName name="_xlnm.Print_Area" localSheetId="29">'010-JSB섬유망3CM'!$A$1:$K$35</definedName>
    <definedName name="_xlnm.Print_Area" localSheetId="30">'011-JSB섬유망5CM'!$A$1:$K$35</definedName>
    <definedName name="_xlnm.Print_Area" localSheetId="31">'012-JSB섬유망7CM'!$A$1:$K$35</definedName>
    <definedName name="_xlnm.Print_Area" localSheetId="32">'013-JSB철망5CM'!$A$1:$K$47</definedName>
    <definedName name="_xlnm.Print_Area" localSheetId="33">'014-JSB철망7CM'!$A$1:$K$45</definedName>
    <definedName name="_xlnm.Print_Area" localSheetId="34">'015-JSB철망10CM'!$A$1:$K$45</definedName>
    <definedName name="_xlnm.Print_Area" localSheetId="35">'016-JSB철망12CM'!$A$1:$K$45</definedName>
    <definedName name="_xlnm.Print_Area" localSheetId="43">'022-SF-SEED~철망5CM'!$A$1:$K$90</definedName>
    <definedName name="_xlnm.Print_Area" localSheetId="45">'027-NGR-코아네트SEED형'!$A$1:$K$261</definedName>
    <definedName name="_xlnm.Print_Area" localSheetId="47">'028-MUDPACK-spray'!$A$1:$M$26</definedName>
    <definedName name="_xlnm.Print_Area" localSheetId="48">'029-MUDPACK-T=1cm'!$A$1:$M$25</definedName>
    <definedName name="_xlnm.Print_Area" localSheetId="50">'031-MUDPACK-T=7cm'!$A$1:$M$41</definedName>
    <definedName name="_xlnm.Print_Area" localSheetId="52">'033-MUDPACK-단가산출'!$A$1:$M$106</definedName>
    <definedName name="_xlnm.Print_Area" localSheetId="71">'4-금비토'!$A$1:$K$130</definedName>
    <definedName name="_xlnm.Print_Area" localSheetId="63">'5-ASNA'!$A$1:$K$188</definedName>
    <definedName name="_xlnm.Print_Area" localSheetId="64">'6-NGR'!$A$1:$K$299</definedName>
    <definedName name="_xlnm.Print_Area" localSheetId="66">'8.0자재단가'!$A$1:$J$69</definedName>
    <definedName name="_xlnm.Print_Area" localSheetId="22">'테라토10-일위대가'!$A$1:$N$44</definedName>
    <definedName name="_xlnm.Print_Area" localSheetId="12">'테라토5-일위대가'!$A$1:$N$44</definedName>
    <definedName name="_xlnm.Print_Area" localSheetId="17">'테라토7-일위대가'!$A$1:$N$44</definedName>
    <definedName name="_xlnm.Print_Area" localSheetId="59">JSB섬유망!$A$1:$K$107</definedName>
    <definedName name="_xlnm.Print_Area" localSheetId="60">JSB철망!$A$1:$K$184</definedName>
    <definedName name="_xlnm.Print_Titles" localSheetId="6">'004-이지그린매트'!$12:$13</definedName>
    <definedName name="_xlnm.Print_Titles" localSheetId="7">'005-이지그린매트(A Type)'!$1:$3</definedName>
    <definedName name="_xlnm.Print_Titles" localSheetId="8">'006-이지그린매트(B Type)'!$1:$3</definedName>
    <definedName name="_xlnm.Print_Titles" localSheetId="9">'007-이지그린매트(C Type)'!$1:$3</definedName>
    <definedName name="_xlnm.Print_Titles" localSheetId="37">'017-ASNA-일위대가(무망0.5~유망5)'!$44:$45</definedName>
    <definedName name="_xlnm.Print_Titles" localSheetId="43">'022-SF-SEED~철망5CM'!$1:$2</definedName>
    <definedName name="_xlnm.Print_Titles" localSheetId="52">'033-MUDPACK-단가산출'!$1:$2</definedName>
    <definedName name="_xlnm.Print_Titles" localSheetId="69">'11.0시중노임'!$2:$2</definedName>
    <definedName name="_xlnm.Print_Titles" localSheetId="66">'8.0자재단가'!$2:$4</definedName>
    <definedName name="_xlnm.Print_Titles" localSheetId="67">'9.0중기목록'!$3:$5</definedName>
    <definedName name="_xlnm.Print_Titles" localSheetId="21">'테라토10-목록'!$1:$2</definedName>
    <definedName name="_xlnm.Print_Titles" localSheetId="22">'테라토10-일위대가'!$1:$2</definedName>
    <definedName name="_xlnm.Print_Titles" localSheetId="11">'테라토5-목록'!$1:$2</definedName>
    <definedName name="_xlnm.Print_Titles" localSheetId="12">'테라토5-일위대가'!$1:$2</definedName>
    <definedName name="_xlnm.Print_Titles" localSheetId="16">'테라토7-목록'!$1:$2</definedName>
    <definedName name="_xlnm.Print_Titles" localSheetId="17">'테라토7-일위대가'!$1:$2</definedName>
  </definedNames>
  <calcPr calcId="114210" fullCalcOnLoad="1"/>
</workbook>
</file>

<file path=xl/calcChain.xml><?xml version="1.0" encoding="utf-8"?>
<calcChain xmlns="http://schemas.openxmlformats.org/spreadsheetml/2006/main">
  <c r="A3" i="8922"/>
  <c r="A4"/>
  <c r="A5"/>
  <c r="A6"/>
  <c r="F4" i="8923"/>
  <c r="G4"/>
  <c r="H4"/>
  <c r="I4"/>
  <c r="J4"/>
  <c r="K4"/>
  <c r="L4"/>
  <c r="M4"/>
  <c r="F5"/>
  <c r="G5"/>
  <c r="I5"/>
  <c r="J5"/>
  <c r="K5"/>
  <c r="M5"/>
  <c r="F6"/>
  <c r="G6"/>
  <c r="I6"/>
  <c r="J6"/>
  <c r="K6"/>
  <c r="M6"/>
  <c r="G7"/>
  <c r="I7"/>
  <c r="K7"/>
  <c r="M7"/>
  <c r="F10"/>
  <c r="G10"/>
  <c r="H10"/>
  <c r="I10"/>
  <c r="K10"/>
  <c r="M10"/>
  <c r="F11"/>
  <c r="G11"/>
  <c r="H11"/>
  <c r="I11"/>
  <c r="K11"/>
  <c r="M11"/>
  <c r="F12"/>
  <c r="G12"/>
  <c r="I12"/>
  <c r="J12"/>
  <c r="K12"/>
  <c r="M12"/>
  <c r="F13"/>
  <c r="G13"/>
  <c r="I13"/>
  <c r="J13"/>
  <c r="K13"/>
  <c r="M13"/>
  <c r="G14"/>
  <c r="I14"/>
  <c r="K14"/>
  <c r="M14"/>
  <c r="F18"/>
  <c r="G18"/>
  <c r="H18"/>
  <c r="I18"/>
  <c r="K18"/>
  <c r="M18"/>
  <c r="F19"/>
  <c r="G19"/>
  <c r="H19"/>
  <c r="I19"/>
  <c r="K19"/>
  <c r="M19"/>
  <c r="F20"/>
  <c r="G20"/>
  <c r="I20"/>
  <c r="J20"/>
  <c r="K20"/>
  <c r="M20"/>
  <c r="F21"/>
  <c r="G21"/>
  <c r="I21"/>
  <c r="J21"/>
  <c r="K21"/>
  <c r="M21"/>
  <c r="F22"/>
  <c r="G22"/>
  <c r="I22"/>
  <c r="J22"/>
  <c r="K22"/>
  <c r="M22"/>
  <c r="G23"/>
  <c r="I23"/>
  <c r="K23"/>
  <c r="M23"/>
  <c r="F25"/>
  <c r="G25"/>
  <c r="H25"/>
  <c r="I25"/>
  <c r="K25"/>
  <c r="M25"/>
  <c r="F26"/>
  <c r="G26"/>
  <c r="H26"/>
  <c r="I26"/>
  <c r="K26"/>
  <c r="M26"/>
  <c r="F27"/>
  <c r="G27"/>
  <c r="I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K32"/>
  <c r="M32"/>
  <c r="F33"/>
  <c r="G33"/>
  <c r="H33"/>
  <c r="I33"/>
  <c r="J33"/>
  <c r="K33"/>
  <c r="L33"/>
  <c r="M33"/>
  <c r="F34"/>
  <c r="G34"/>
  <c r="I34"/>
  <c r="J34"/>
  <c r="K34"/>
  <c r="M34"/>
  <c r="F35"/>
  <c r="G35"/>
  <c r="I35"/>
  <c r="J35"/>
  <c r="K35"/>
  <c r="M35"/>
  <c r="F36"/>
  <c r="G36"/>
  <c r="I36"/>
  <c r="J36"/>
  <c r="K36"/>
  <c r="M36"/>
  <c r="F37"/>
  <c r="G37"/>
  <c r="I37"/>
  <c r="J37"/>
  <c r="K37"/>
  <c r="M37"/>
  <c r="G38"/>
  <c r="I38"/>
  <c r="K38"/>
  <c r="M38"/>
  <c r="G40"/>
  <c r="I40"/>
  <c r="G41"/>
  <c r="K41"/>
  <c r="G43"/>
  <c r="I43"/>
  <c r="K43"/>
  <c r="M43"/>
  <c r="E5" i="8924"/>
  <c r="F5"/>
  <c r="F6"/>
  <c r="F7"/>
  <c r="E8"/>
  <c r="F8"/>
  <c r="E9"/>
  <c r="F9"/>
  <c r="E10"/>
  <c r="F10"/>
  <c r="F11"/>
  <c r="F12"/>
  <c r="F13"/>
  <c r="F20"/>
  <c r="E25"/>
  <c r="F25"/>
  <c r="F26"/>
  <c r="F27"/>
  <c r="E28"/>
  <c r="F28"/>
  <c r="E29"/>
  <c r="F29"/>
  <c r="E30"/>
  <c r="F30"/>
  <c r="F31"/>
  <c r="F32"/>
  <c r="F33"/>
  <c r="F40"/>
  <c r="E45"/>
  <c r="F45"/>
  <c r="F46"/>
  <c r="F47"/>
  <c r="E48"/>
  <c r="F48"/>
  <c r="E49"/>
  <c r="F49"/>
  <c r="E50"/>
  <c r="F50"/>
  <c r="F51"/>
  <c r="F52"/>
  <c r="F53"/>
  <c r="F60"/>
  <c r="E65"/>
  <c r="F65"/>
  <c r="F66"/>
  <c r="F67"/>
  <c r="E68"/>
  <c r="F68"/>
  <c r="F69"/>
  <c r="E70"/>
  <c r="F70"/>
  <c r="F71"/>
  <c r="F72"/>
  <c r="F73"/>
  <c r="F80"/>
  <c r="E85"/>
  <c r="F85"/>
  <c r="F86"/>
  <c r="F87"/>
  <c r="E88"/>
  <c r="F88"/>
  <c r="F89"/>
  <c r="E90"/>
  <c r="F90"/>
  <c r="F91"/>
  <c r="C92"/>
  <c r="F92"/>
  <c r="F93"/>
  <c r="F100"/>
  <c r="E105"/>
  <c r="F105"/>
  <c r="F106"/>
  <c r="F107"/>
  <c r="E108"/>
  <c r="F108"/>
  <c r="F109"/>
  <c r="E110"/>
  <c r="F110"/>
  <c r="F111"/>
  <c r="F112"/>
  <c r="F113"/>
  <c r="F120"/>
  <c r="E125"/>
  <c r="F125"/>
  <c r="F126"/>
  <c r="F127"/>
  <c r="E128"/>
  <c r="F128"/>
  <c r="F129"/>
  <c r="F130"/>
  <c r="F131"/>
  <c r="F132"/>
  <c r="F133"/>
  <c r="F140"/>
  <c r="E145"/>
  <c r="F145"/>
  <c r="F146"/>
  <c r="F147"/>
  <c r="E148"/>
  <c r="F148"/>
  <c r="F149"/>
  <c r="F150"/>
  <c r="F151"/>
  <c r="F152"/>
  <c r="F153"/>
  <c r="F160"/>
  <c r="F166"/>
  <c r="F167"/>
  <c r="E168"/>
  <c r="F168"/>
  <c r="F169"/>
  <c r="F170"/>
  <c r="F171"/>
  <c r="F172"/>
  <c r="F173"/>
  <c r="F180"/>
  <c r="E8" i="8925"/>
  <c r="E11"/>
  <c r="S11"/>
  <c r="E12"/>
  <c r="S12"/>
  <c r="E13"/>
  <c r="S13"/>
  <c r="E14"/>
  <c r="S14"/>
  <c r="J3" i="8926"/>
  <c r="J4"/>
  <c r="J5"/>
  <c r="J6"/>
  <c r="J7"/>
  <c r="J8"/>
  <c r="J9"/>
  <c r="J10"/>
  <c r="A3" i="8917"/>
  <c r="A4"/>
  <c r="A5"/>
  <c r="A6"/>
  <c r="F4" i="8918"/>
  <c r="G4"/>
  <c r="H4"/>
  <c r="I4"/>
  <c r="J4"/>
  <c r="K4"/>
  <c r="L4"/>
  <c r="M4"/>
  <c r="F5"/>
  <c r="G5"/>
  <c r="I5"/>
  <c r="J5"/>
  <c r="K5"/>
  <c r="M5"/>
  <c r="F6"/>
  <c r="G6"/>
  <c r="I6"/>
  <c r="J6"/>
  <c r="K6"/>
  <c r="M6"/>
  <c r="G7"/>
  <c r="I7"/>
  <c r="K7"/>
  <c r="M7"/>
  <c r="F10"/>
  <c r="G10"/>
  <c r="H10"/>
  <c r="I10"/>
  <c r="K10"/>
  <c r="M10"/>
  <c r="F11"/>
  <c r="G11"/>
  <c r="H11"/>
  <c r="I11"/>
  <c r="K11"/>
  <c r="M11"/>
  <c r="F12"/>
  <c r="G12"/>
  <c r="I12"/>
  <c r="J12"/>
  <c r="K12"/>
  <c r="M12"/>
  <c r="F13"/>
  <c r="G13"/>
  <c r="I13"/>
  <c r="J13"/>
  <c r="K13"/>
  <c r="M13"/>
  <c r="G14"/>
  <c r="I14"/>
  <c r="K14"/>
  <c r="M14"/>
  <c r="F18"/>
  <c r="G18"/>
  <c r="H18"/>
  <c r="I18"/>
  <c r="K18"/>
  <c r="M18"/>
  <c r="F19"/>
  <c r="G19"/>
  <c r="H19"/>
  <c r="I19"/>
  <c r="K19"/>
  <c r="M19"/>
  <c r="F20"/>
  <c r="G20"/>
  <c r="I20"/>
  <c r="J20"/>
  <c r="K20"/>
  <c r="M20"/>
  <c r="F21"/>
  <c r="G21"/>
  <c r="I21"/>
  <c r="J21"/>
  <c r="K21"/>
  <c r="M21"/>
  <c r="F22"/>
  <c r="G22"/>
  <c r="I22"/>
  <c r="J22"/>
  <c r="K22"/>
  <c r="M22"/>
  <c r="G23"/>
  <c r="I23"/>
  <c r="K23"/>
  <c r="M23"/>
  <c r="F25"/>
  <c r="G25"/>
  <c r="H25"/>
  <c r="I25"/>
  <c r="K25"/>
  <c r="M25"/>
  <c r="F26"/>
  <c r="G26"/>
  <c r="H26"/>
  <c r="I26"/>
  <c r="K26"/>
  <c r="M26"/>
  <c r="F27"/>
  <c r="G27"/>
  <c r="I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K32"/>
  <c r="M32"/>
  <c r="F33"/>
  <c r="G33"/>
  <c r="H33"/>
  <c r="I33"/>
  <c r="J33"/>
  <c r="K33"/>
  <c r="L33"/>
  <c r="M33"/>
  <c r="F34"/>
  <c r="G34"/>
  <c r="I34"/>
  <c r="J34"/>
  <c r="K34"/>
  <c r="M34"/>
  <c r="F35"/>
  <c r="G35"/>
  <c r="I35"/>
  <c r="J35"/>
  <c r="K35"/>
  <c r="M35"/>
  <c r="F36"/>
  <c r="G36"/>
  <c r="I36"/>
  <c r="J36"/>
  <c r="K36"/>
  <c r="M36"/>
  <c r="F37"/>
  <c r="G37"/>
  <c r="I37"/>
  <c r="J37"/>
  <c r="K37"/>
  <c r="M37"/>
  <c r="G38"/>
  <c r="I38"/>
  <c r="K38"/>
  <c r="M38"/>
  <c r="G40"/>
  <c r="I40"/>
  <c r="G41"/>
  <c r="K41"/>
  <c r="G43"/>
  <c r="I43"/>
  <c r="K43"/>
  <c r="M43"/>
  <c r="E5" i="8919"/>
  <c r="F5"/>
  <c r="F6"/>
  <c r="F7"/>
  <c r="E8"/>
  <c r="F8"/>
  <c r="E9"/>
  <c r="F9"/>
  <c r="E10"/>
  <c r="F10"/>
  <c r="F11"/>
  <c r="F12"/>
  <c r="F13"/>
  <c r="F20"/>
  <c r="E25"/>
  <c r="F25"/>
  <c r="F26"/>
  <c r="F27"/>
  <c r="E28"/>
  <c r="F28"/>
  <c r="E29"/>
  <c r="F29"/>
  <c r="E30"/>
  <c r="F30"/>
  <c r="F31"/>
  <c r="F32"/>
  <c r="F33"/>
  <c r="F40"/>
  <c r="E45"/>
  <c r="F45"/>
  <c r="F46"/>
  <c r="F47"/>
  <c r="E48"/>
  <c r="F48"/>
  <c r="E49"/>
  <c r="F49"/>
  <c r="E50"/>
  <c r="F50"/>
  <c r="F51"/>
  <c r="F52"/>
  <c r="F53"/>
  <c r="F60"/>
  <c r="E65"/>
  <c r="F65"/>
  <c r="F66"/>
  <c r="F67"/>
  <c r="E68"/>
  <c r="F68"/>
  <c r="F69"/>
  <c r="E70"/>
  <c r="F70"/>
  <c r="F71"/>
  <c r="F72"/>
  <c r="F73"/>
  <c r="F80"/>
  <c r="E85"/>
  <c r="F85"/>
  <c r="F86"/>
  <c r="F87"/>
  <c r="E88"/>
  <c r="F88"/>
  <c r="F89"/>
  <c r="E90"/>
  <c r="F90"/>
  <c r="F91"/>
  <c r="C92"/>
  <c r="F92"/>
  <c r="F93"/>
  <c r="F100"/>
  <c r="E105"/>
  <c r="F105"/>
  <c r="F106"/>
  <c r="F107"/>
  <c r="E108"/>
  <c r="F108"/>
  <c r="F109"/>
  <c r="E110"/>
  <c r="F110"/>
  <c r="F111"/>
  <c r="F112"/>
  <c r="F113"/>
  <c r="F120"/>
  <c r="E125"/>
  <c r="F125"/>
  <c r="F126"/>
  <c r="F127"/>
  <c r="E128"/>
  <c r="F128"/>
  <c r="F129"/>
  <c r="F130"/>
  <c r="F131"/>
  <c r="F132"/>
  <c r="F133"/>
  <c r="F140"/>
  <c r="E145"/>
  <c r="F145"/>
  <c r="F146"/>
  <c r="F147"/>
  <c r="E148"/>
  <c r="F148"/>
  <c r="F149"/>
  <c r="F150"/>
  <c r="F151"/>
  <c r="F152"/>
  <c r="F153"/>
  <c r="F160"/>
  <c r="F166"/>
  <c r="F167"/>
  <c r="E168"/>
  <c r="F168"/>
  <c r="F169"/>
  <c r="F170"/>
  <c r="F171"/>
  <c r="F172"/>
  <c r="F173"/>
  <c r="F180"/>
  <c r="E8" i="8920"/>
  <c r="E11"/>
  <c r="S11"/>
  <c r="E12"/>
  <c r="S12"/>
  <c r="E13"/>
  <c r="S13"/>
  <c r="E14"/>
  <c r="S14"/>
  <c r="J3" i="8921"/>
  <c r="J4"/>
  <c r="J5"/>
  <c r="J6"/>
  <c r="J7"/>
  <c r="J8"/>
  <c r="J9"/>
  <c r="J10"/>
  <c r="M25" i="8913"/>
  <c r="M26"/>
  <c r="L27"/>
  <c r="M27"/>
  <c r="L28"/>
  <c r="M28"/>
  <c r="L29"/>
  <c r="M29"/>
  <c r="L30"/>
  <c r="M30"/>
  <c r="L31"/>
  <c r="M31"/>
  <c r="M32"/>
  <c r="L33"/>
  <c r="M33"/>
  <c r="M34"/>
  <c r="M35"/>
  <c r="M36"/>
  <c r="M37"/>
  <c r="M38"/>
  <c r="M18"/>
  <c r="M19"/>
  <c r="M20"/>
  <c r="M21"/>
  <c r="M22"/>
  <c r="M10"/>
  <c r="M11"/>
  <c r="M12"/>
  <c r="M13"/>
  <c r="M14"/>
  <c r="L4"/>
  <c r="M4"/>
  <c r="M5"/>
  <c r="M6"/>
  <c r="M7"/>
  <c r="M43"/>
  <c r="K25"/>
  <c r="K26"/>
  <c r="K27"/>
  <c r="E11" i="8915"/>
  <c r="S11"/>
  <c r="E48" i="8914"/>
  <c r="F48"/>
  <c r="E13" i="8915"/>
  <c r="S13"/>
  <c r="E50" i="8914"/>
  <c r="F50"/>
  <c r="E12" i="8915"/>
  <c r="S12"/>
  <c r="E49" i="8914"/>
  <c r="F49"/>
  <c r="F51"/>
  <c r="J28" i="8913"/>
  <c r="K28"/>
  <c r="E8" i="8914"/>
  <c r="F8"/>
  <c r="E10"/>
  <c r="F10"/>
  <c r="E9"/>
  <c r="F9"/>
  <c r="F11"/>
  <c r="J29" i="8913"/>
  <c r="K29"/>
  <c r="E108" i="8914"/>
  <c r="F108"/>
  <c r="E110"/>
  <c r="F110"/>
  <c r="F111"/>
  <c r="J30" i="8913"/>
  <c r="K30"/>
  <c r="E14" i="8915"/>
  <c r="E168" i="8914"/>
  <c r="F168"/>
  <c r="F171"/>
  <c r="J31" i="8913"/>
  <c r="K31"/>
  <c r="K32"/>
  <c r="E148" i="8914"/>
  <c r="F148"/>
  <c r="F151"/>
  <c r="J33" i="8913"/>
  <c r="K33"/>
  <c r="J34"/>
  <c r="K34"/>
  <c r="J35"/>
  <c r="K35"/>
  <c r="J36"/>
  <c r="K36"/>
  <c r="J37"/>
  <c r="K37"/>
  <c r="K38"/>
  <c r="K18"/>
  <c r="J19"/>
  <c r="K19"/>
  <c r="J20"/>
  <c r="K20"/>
  <c r="J21"/>
  <c r="K21"/>
  <c r="K22"/>
  <c r="K10"/>
  <c r="K11"/>
  <c r="J12"/>
  <c r="K12"/>
  <c r="J13"/>
  <c r="K13"/>
  <c r="K14"/>
  <c r="J4"/>
  <c r="K4"/>
  <c r="J5"/>
  <c r="K5"/>
  <c r="J6"/>
  <c r="K6"/>
  <c r="K7"/>
  <c r="K41"/>
  <c r="K43"/>
  <c r="H25"/>
  <c r="I25"/>
  <c r="H26"/>
  <c r="I26"/>
  <c r="I27"/>
  <c r="E45" i="8914"/>
  <c r="F45"/>
  <c r="F46"/>
  <c r="F47"/>
  <c r="H28" i="8913"/>
  <c r="I28"/>
  <c r="E5" i="8914"/>
  <c r="F5"/>
  <c r="F6"/>
  <c r="F7"/>
  <c r="H29" i="8913"/>
  <c r="I29"/>
  <c r="E105" i="8914"/>
  <c r="F105"/>
  <c r="F106"/>
  <c r="F107"/>
  <c r="H30" i="8913"/>
  <c r="I30"/>
  <c r="H31"/>
  <c r="I31"/>
  <c r="H32"/>
  <c r="I32"/>
  <c r="E145" i="8914"/>
  <c r="F145"/>
  <c r="F146"/>
  <c r="F147"/>
  <c r="H33" i="8913"/>
  <c r="I33"/>
  <c r="I34"/>
  <c r="I35"/>
  <c r="I36"/>
  <c r="I37"/>
  <c r="I38"/>
  <c r="H18"/>
  <c r="I18"/>
  <c r="I19"/>
  <c r="I20"/>
  <c r="I21"/>
  <c r="I22"/>
  <c r="H10"/>
  <c r="I10"/>
  <c r="H11"/>
  <c r="I11"/>
  <c r="I12"/>
  <c r="I13"/>
  <c r="I14"/>
  <c r="H4"/>
  <c r="I4"/>
  <c r="I5"/>
  <c r="I6"/>
  <c r="I7"/>
  <c r="I40"/>
  <c r="I43"/>
  <c r="G43"/>
  <c r="G41"/>
  <c r="G40"/>
  <c r="J7" i="8916"/>
  <c r="J5"/>
  <c r="J8"/>
  <c r="J10"/>
  <c r="E8" i="8915"/>
  <c r="F166" i="8914"/>
  <c r="F167"/>
  <c r="F172"/>
  <c r="F173"/>
  <c r="F169"/>
  <c r="F170"/>
  <c r="F180"/>
  <c r="J9" i="8916"/>
  <c r="J6"/>
  <c r="J4"/>
  <c r="G31" i="8913"/>
  <c r="F31"/>
  <c r="J3" i="8916"/>
  <c r="E128" i="8914"/>
  <c r="F36" i="8913"/>
  <c r="F35"/>
  <c r="F34"/>
  <c r="F33"/>
  <c r="F128" i="8914"/>
  <c r="F131"/>
  <c r="F32" i="8913"/>
  <c r="F30"/>
  <c r="F29"/>
  <c r="F28"/>
  <c r="F27"/>
  <c r="F26"/>
  <c r="F25"/>
  <c r="G18"/>
  <c r="G19"/>
  <c r="G20"/>
  <c r="G21"/>
  <c r="G22"/>
  <c r="F32" i="8914"/>
  <c r="F33"/>
  <c r="E125"/>
  <c r="F125"/>
  <c r="F126"/>
  <c r="E65"/>
  <c r="F65"/>
  <c r="F66"/>
  <c r="F152"/>
  <c r="F132"/>
  <c r="F112"/>
  <c r="E90"/>
  <c r="E88"/>
  <c r="E70"/>
  <c r="E68"/>
  <c r="C92"/>
  <c r="E85"/>
  <c r="F85"/>
  <c r="F86"/>
  <c r="F52"/>
  <c r="F12"/>
  <c r="F13"/>
  <c r="F53"/>
  <c r="F133"/>
  <c r="F153"/>
  <c r="F129"/>
  <c r="F130"/>
  <c r="F149"/>
  <c r="F150"/>
  <c r="F127"/>
  <c r="G37" i="8913"/>
  <c r="G35"/>
  <c r="G34"/>
  <c r="G36"/>
  <c r="G28"/>
  <c r="G29"/>
  <c r="G26"/>
  <c r="G25"/>
  <c r="G32"/>
  <c r="G33"/>
  <c r="G27"/>
  <c r="G30"/>
  <c r="G38"/>
  <c r="G13"/>
  <c r="G12"/>
  <c r="G10"/>
  <c r="G11"/>
  <c r="G14"/>
  <c r="G6"/>
  <c r="G5"/>
  <c r="G4"/>
  <c r="G7"/>
  <c r="A6" i="8912"/>
  <c r="A5"/>
  <c r="A4"/>
  <c r="A3"/>
  <c r="F88" i="8914"/>
  <c r="F89"/>
  <c r="F90"/>
  <c r="F91"/>
  <c r="F87"/>
  <c r="F109"/>
  <c r="F113"/>
  <c r="F120"/>
  <c r="E25"/>
  <c r="F160"/>
  <c r="F60"/>
  <c r="F25"/>
  <c r="F26"/>
  <c r="F27"/>
  <c r="E28"/>
  <c r="F28"/>
  <c r="E29"/>
  <c r="F29"/>
  <c r="E30"/>
  <c r="F30"/>
  <c r="F31"/>
  <c r="F40"/>
  <c r="F20"/>
  <c r="S14" i="8915"/>
  <c r="F140" i="8914"/>
  <c r="F92"/>
  <c r="F93"/>
  <c r="F100"/>
  <c r="F67"/>
  <c r="F68"/>
  <c r="F69"/>
  <c r="F70"/>
  <c r="F71"/>
  <c r="F72"/>
  <c r="F73"/>
  <c r="F80"/>
  <c r="F19" i="8913"/>
  <c r="F20"/>
  <c r="F21"/>
  <c r="F12"/>
  <c r="F13"/>
  <c r="F6"/>
  <c r="F5"/>
  <c r="F37"/>
  <c r="F18"/>
  <c r="F11"/>
  <c r="F10"/>
  <c r="F4"/>
  <c r="M28" i="8865"/>
  <c r="I21" i="8812"/>
  <c r="I7" i="8865"/>
  <c r="J8"/>
  <c r="O8"/>
  <c r="X8"/>
  <c r="J13"/>
  <c r="J17"/>
  <c r="J18"/>
  <c r="F6" i="16"/>
  <c r="J19" i="8865"/>
  <c r="J20"/>
  <c r="R20"/>
  <c r="X20"/>
  <c r="I23"/>
  <c r="J24"/>
  <c r="R24"/>
  <c r="X24"/>
  <c r="F4" i="16"/>
  <c r="J29" i="8865"/>
  <c r="R29"/>
  <c r="X29"/>
  <c r="X41"/>
  <c r="G7" i="8867"/>
  <c r="J7"/>
  <c r="O7"/>
  <c r="X7"/>
  <c r="J12"/>
  <c r="J16"/>
  <c r="J17"/>
  <c r="J18"/>
  <c r="J19"/>
  <c r="R19"/>
  <c r="X19"/>
  <c r="I22"/>
  <c r="J23"/>
  <c r="R23"/>
  <c r="X23"/>
  <c r="J26"/>
  <c r="J27"/>
  <c r="R27"/>
  <c r="X27"/>
  <c r="M31"/>
  <c r="J32"/>
  <c r="R32"/>
  <c r="X32"/>
  <c r="X41"/>
  <c r="E5" i="8897"/>
  <c r="F5"/>
  <c r="K5"/>
  <c r="L5"/>
  <c r="E6"/>
  <c r="F6"/>
  <c r="K6"/>
  <c r="L6"/>
  <c r="E7"/>
  <c r="F7"/>
  <c r="K7"/>
  <c r="L7"/>
  <c r="F8"/>
  <c r="K8"/>
  <c r="L8"/>
  <c r="F9"/>
  <c r="K9"/>
  <c r="L9"/>
  <c r="E10"/>
  <c r="F10"/>
  <c r="K10"/>
  <c r="L10"/>
  <c r="E11"/>
  <c r="F11"/>
  <c r="K11"/>
  <c r="L11"/>
  <c r="E12"/>
  <c r="F12"/>
  <c r="K12"/>
  <c r="L12"/>
  <c r="I12" i="8902"/>
  <c r="E13"/>
  <c r="I13"/>
  <c r="G14"/>
  <c r="E14"/>
  <c r="I14"/>
  <c r="J14"/>
  <c r="E13" i="8897"/>
  <c r="F13"/>
  <c r="I16" i="8902"/>
  <c r="G17"/>
  <c r="E15"/>
  <c r="E17"/>
  <c r="I17"/>
  <c r="K17"/>
  <c r="G13" i="8897"/>
  <c r="H13"/>
  <c r="I11" i="8902"/>
  <c r="L11"/>
  <c r="I13" i="8897"/>
  <c r="J13"/>
  <c r="K13"/>
  <c r="L13"/>
  <c r="I20" i="8902"/>
  <c r="E21"/>
  <c r="I21"/>
  <c r="G22"/>
  <c r="E22"/>
  <c r="I22"/>
  <c r="J22"/>
  <c r="E14" i="8897"/>
  <c r="F14"/>
  <c r="I24" i="8902"/>
  <c r="G25"/>
  <c r="E23"/>
  <c r="E25"/>
  <c r="I25"/>
  <c r="K25"/>
  <c r="G14" i="8897"/>
  <c r="H14"/>
  <c r="I19" i="8902"/>
  <c r="L19"/>
  <c r="I14" i="8897"/>
  <c r="J14"/>
  <c r="K14"/>
  <c r="L14"/>
  <c r="I27" i="8902"/>
  <c r="E28"/>
  <c r="I28"/>
  <c r="G29"/>
  <c r="E29"/>
  <c r="I29"/>
  <c r="J29"/>
  <c r="E15" i="8897"/>
  <c r="F15"/>
  <c r="I31" i="8902"/>
  <c r="G32"/>
  <c r="E30"/>
  <c r="E32"/>
  <c r="I32"/>
  <c r="K32"/>
  <c r="G15" i="8897"/>
  <c r="H15"/>
  <c r="I26" i="8902"/>
  <c r="L26"/>
  <c r="I15" i="8897"/>
  <c r="J15"/>
  <c r="K15"/>
  <c r="L15"/>
  <c r="I34" i="8902"/>
  <c r="E35"/>
  <c r="I35"/>
  <c r="G36"/>
  <c r="E36"/>
  <c r="I36"/>
  <c r="J36"/>
  <c r="E16" i="8897"/>
  <c r="F16"/>
  <c r="I38" i="8902"/>
  <c r="G39"/>
  <c r="E37"/>
  <c r="E39"/>
  <c r="I39"/>
  <c r="K39"/>
  <c r="G16" i="8897"/>
  <c r="H16"/>
  <c r="I33" i="8902"/>
  <c r="L33"/>
  <c r="I16" i="8897"/>
  <c r="J16"/>
  <c r="K16"/>
  <c r="L16"/>
  <c r="G17"/>
  <c r="H17"/>
  <c r="K17"/>
  <c r="L17"/>
  <c r="G18"/>
  <c r="H18"/>
  <c r="K18"/>
  <c r="L18"/>
  <c r="G19"/>
  <c r="H19"/>
  <c r="K19"/>
  <c r="L19"/>
  <c r="F22"/>
  <c r="H22"/>
  <c r="J22"/>
  <c r="F23"/>
  <c r="L23"/>
  <c r="F24"/>
  <c r="L24"/>
  <c r="F26"/>
  <c r="H26"/>
  <c r="J26"/>
  <c r="L26"/>
  <c r="E5" i="8898"/>
  <c r="F5"/>
  <c r="K5"/>
  <c r="L5"/>
  <c r="E6"/>
  <c r="F6"/>
  <c r="K6"/>
  <c r="L6"/>
  <c r="E7"/>
  <c r="F7"/>
  <c r="K7"/>
  <c r="L7"/>
  <c r="E8"/>
  <c r="F8"/>
  <c r="K8"/>
  <c r="L8"/>
  <c r="E9"/>
  <c r="F9"/>
  <c r="K9"/>
  <c r="L9"/>
  <c r="E10"/>
  <c r="F10"/>
  <c r="K10"/>
  <c r="L10"/>
  <c r="E11"/>
  <c r="F11"/>
  <c r="G11"/>
  <c r="H11"/>
  <c r="I11"/>
  <c r="J11"/>
  <c r="K11"/>
  <c r="L11"/>
  <c r="I18" i="8902"/>
  <c r="L18"/>
  <c r="I12" i="8898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G16"/>
  <c r="H16"/>
  <c r="K16"/>
  <c r="L16"/>
  <c r="G17"/>
  <c r="H17"/>
  <c r="K17"/>
  <c r="L17"/>
  <c r="G18"/>
  <c r="H18"/>
  <c r="K18"/>
  <c r="L18"/>
  <c r="F21"/>
  <c r="H21"/>
  <c r="J21"/>
  <c r="F22"/>
  <c r="L22"/>
  <c r="F23"/>
  <c r="L23"/>
  <c r="F25"/>
  <c r="H25"/>
  <c r="J25"/>
  <c r="L25"/>
  <c r="E5" i="8899"/>
  <c r="F5"/>
  <c r="K5"/>
  <c r="L5"/>
  <c r="E6"/>
  <c r="F6"/>
  <c r="K6"/>
  <c r="L6"/>
  <c r="E7"/>
  <c r="F7"/>
  <c r="K7"/>
  <c r="L7"/>
  <c r="E8"/>
  <c r="F8"/>
  <c r="K8"/>
  <c r="L8"/>
  <c r="E9"/>
  <c r="F9"/>
  <c r="K9"/>
  <c r="L9"/>
  <c r="I3" i="8902"/>
  <c r="L3"/>
  <c r="I10" i="8899"/>
  <c r="J10"/>
  <c r="K10"/>
  <c r="L10"/>
  <c r="I5" i="8902"/>
  <c r="E6"/>
  <c r="I6"/>
  <c r="G7"/>
  <c r="E7"/>
  <c r="I7"/>
  <c r="J7"/>
  <c r="E11" i="8899"/>
  <c r="F11"/>
  <c r="I9" i="8902"/>
  <c r="G10"/>
  <c r="E8"/>
  <c r="E10"/>
  <c r="I10"/>
  <c r="K10"/>
  <c r="G11" i="8899"/>
  <c r="H11"/>
  <c r="I4" i="8902"/>
  <c r="L4"/>
  <c r="I11" i="8899"/>
  <c r="J11"/>
  <c r="K11"/>
  <c r="L11"/>
  <c r="I12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G16"/>
  <c r="H16"/>
  <c r="K16"/>
  <c r="L16"/>
  <c r="G17"/>
  <c r="H17"/>
  <c r="K17"/>
  <c r="L17"/>
  <c r="G18"/>
  <c r="H18"/>
  <c r="K18"/>
  <c r="L18"/>
  <c r="F22"/>
  <c r="H22"/>
  <c r="J22"/>
  <c r="F23"/>
  <c r="L23"/>
  <c r="F24"/>
  <c r="L24"/>
  <c r="F26"/>
  <c r="H26"/>
  <c r="J26"/>
  <c r="L26"/>
  <c r="E6" i="8900"/>
  <c r="F6"/>
  <c r="G6"/>
  <c r="H6"/>
  <c r="I6"/>
  <c r="J6"/>
  <c r="K6"/>
  <c r="L6"/>
  <c r="G7"/>
  <c r="H7"/>
  <c r="K7"/>
  <c r="L7"/>
  <c r="G8"/>
  <c r="H8"/>
  <c r="K8"/>
  <c r="L8"/>
  <c r="F9"/>
  <c r="H9"/>
  <c r="J9"/>
  <c r="L9"/>
  <c r="E11"/>
  <c r="F11"/>
  <c r="K11"/>
  <c r="L11"/>
  <c r="E12"/>
  <c r="F12"/>
  <c r="K12"/>
  <c r="L12"/>
  <c r="G13"/>
  <c r="H13"/>
  <c r="K13"/>
  <c r="L13"/>
  <c r="G14"/>
  <c r="H14"/>
  <c r="K14"/>
  <c r="L14"/>
  <c r="F15"/>
  <c r="H15"/>
  <c r="L15"/>
  <c r="E17"/>
  <c r="F17"/>
  <c r="K17"/>
  <c r="L17"/>
  <c r="E18"/>
  <c r="F18"/>
  <c r="K18"/>
  <c r="L18"/>
  <c r="G19"/>
  <c r="H19"/>
  <c r="K19"/>
  <c r="L19"/>
  <c r="G20"/>
  <c r="H20"/>
  <c r="K20"/>
  <c r="L20"/>
  <c r="G21"/>
  <c r="H21"/>
  <c r="K21"/>
  <c r="L21"/>
  <c r="F22"/>
  <c r="H22"/>
  <c r="L22"/>
  <c r="I24"/>
  <c r="J24"/>
  <c r="K24"/>
  <c r="L24"/>
  <c r="E25"/>
  <c r="F25"/>
  <c r="K25"/>
  <c r="L25"/>
  <c r="E26"/>
  <c r="F26"/>
  <c r="K26"/>
  <c r="L26"/>
  <c r="E27"/>
  <c r="F27"/>
  <c r="K27"/>
  <c r="L27"/>
  <c r="E28"/>
  <c r="F28"/>
  <c r="K28"/>
  <c r="L28"/>
  <c r="E29"/>
  <c r="F29"/>
  <c r="G29"/>
  <c r="H29"/>
  <c r="I29"/>
  <c r="J29"/>
  <c r="K29"/>
  <c r="L29"/>
  <c r="E30"/>
  <c r="F30"/>
  <c r="G30"/>
  <c r="H30"/>
  <c r="I30"/>
  <c r="J30"/>
  <c r="K30"/>
  <c r="L30"/>
  <c r="E31"/>
  <c r="F31"/>
  <c r="G31"/>
  <c r="H31"/>
  <c r="I31"/>
  <c r="J31"/>
  <c r="K31"/>
  <c r="L31"/>
  <c r="E32"/>
  <c r="F32"/>
  <c r="G32"/>
  <c r="H32"/>
  <c r="I32"/>
  <c r="J32"/>
  <c r="K32"/>
  <c r="L32"/>
  <c r="I41" i="8902"/>
  <c r="E42"/>
  <c r="I42"/>
  <c r="G43"/>
  <c r="E43"/>
  <c r="I43"/>
  <c r="J43"/>
  <c r="E33" i="8900"/>
  <c r="F33"/>
  <c r="I45" i="8902"/>
  <c r="G46"/>
  <c r="E44"/>
  <c r="E46"/>
  <c r="I46"/>
  <c r="K46"/>
  <c r="G33" i="8900"/>
  <c r="H33"/>
  <c r="I40" i="8902"/>
  <c r="L40"/>
  <c r="I33" i="8900"/>
  <c r="J33"/>
  <c r="K33"/>
  <c r="L33"/>
  <c r="G34"/>
  <c r="H34"/>
  <c r="K34"/>
  <c r="L34"/>
  <c r="G35"/>
  <c r="H35"/>
  <c r="K35"/>
  <c r="L35"/>
  <c r="G36"/>
  <c r="H36"/>
  <c r="K36"/>
  <c r="L36"/>
  <c r="G37"/>
  <c r="H37"/>
  <c r="K37"/>
  <c r="L37"/>
  <c r="F38"/>
  <c r="H38"/>
  <c r="J38"/>
  <c r="L38"/>
  <c r="F39"/>
  <c r="L39"/>
  <c r="F40"/>
  <c r="L40"/>
  <c r="F41"/>
  <c r="H41"/>
  <c r="J41"/>
  <c r="L41"/>
  <c r="E6" i="8901"/>
  <c r="F6"/>
  <c r="G6"/>
  <c r="H6"/>
  <c r="I6"/>
  <c r="J6"/>
  <c r="K6"/>
  <c r="L6"/>
  <c r="G7"/>
  <c r="H7"/>
  <c r="K7"/>
  <c r="L7"/>
  <c r="G8"/>
  <c r="H8"/>
  <c r="K8"/>
  <c r="L8"/>
  <c r="F9"/>
  <c r="H9"/>
  <c r="J9"/>
  <c r="L9"/>
  <c r="E11"/>
  <c r="F11"/>
  <c r="K11"/>
  <c r="L11"/>
  <c r="E12"/>
  <c r="F12"/>
  <c r="K12"/>
  <c r="L12"/>
  <c r="G13"/>
  <c r="H13"/>
  <c r="K13"/>
  <c r="L13"/>
  <c r="G14"/>
  <c r="H14"/>
  <c r="K14"/>
  <c r="L14"/>
  <c r="F15"/>
  <c r="H15"/>
  <c r="L15"/>
  <c r="E17"/>
  <c r="F17"/>
  <c r="K17"/>
  <c r="L17"/>
  <c r="E18"/>
  <c r="F18"/>
  <c r="K18"/>
  <c r="L18"/>
  <c r="G19"/>
  <c r="H19"/>
  <c r="K19"/>
  <c r="L19"/>
  <c r="G20"/>
  <c r="H20"/>
  <c r="K20"/>
  <c r="L20"/>
  <c r="G21"/>
  <c r="H21"/>
  <c r="K21"/>
  <c r="L21"/>
  <c r="F22"/>
  <c r="H22"/>
  <c r="L22"/>
  <c r="I24"/>
  <c r="J24"/>
  <c r="K24"/>
  <c r="L24"/>
  <c r="E25"/>
  <c r="F25"/>
  <c r="K25"/>
  <c r="L25"/>
  <c r="E26"/>
  <c r="F26"/>
  <c r="K26"/>
  <c r="L26"/>
  <c r="E27"/>
  <c r="F27"/>
  <c r="K27"/>
  <c r="L27"/>
  <c r="E28"/>
  <c r="F28"/>
  <c r="K28"/>
  <c r="L28"/>
  <c r="E29"/>
  <c r="F29"/>
  <c r="G29"/>
  <c r="H29"/>
  <c r="I29"/>
  <c r="J29"/>
  <c r="K29"/>
  <c r="L29"/>
  <c r="E30"/>
  <c r="F30"/>
  <c r="G30"/>
  <c r="H30"/>
  <c r="I30"/>
  <c r="J30"/>
  <c r="K30"/>
  <c r="L30"/>
  <c r="E31"/>
  <c r="F31"/>
  <c r="G31"/>
  <c r="H31"/>
  <c r="I31"/>
  <c r="J31"/>
  <c r="K31"/>
  <c r="L31"/>
  <c r="E32"/>
  <c r="F32"/>
  <c r="G32"/>
  <c r="H32"/>
  <c r="I32"/>
  <c r="J32"/>
  <c r="K32"/>
  <c r="L32"/>
  <c r="E33"/>
  <c r="F33"/>
  <c r="G33"/>
  <c r="H33"/>
  <c r="I33"/>
  <c r="J33"/>
  <c r="K33"/>
  <c r="L33"/>
  <c r="G34"/>
  <c r="H34"/>
  <c r="K34"/>
  <c r="L34"/>
  <c r="G35"/>
  <c r="H35"/>
  <c r="K35"/>
  <c r="L35"/>
  <c r="G36"/>
  <c r="H36"/>
  <c r="K36"/>
  <c r="L36"/>
  <c r="G37"/>
  <c r="H37"/>
  <c r="K37"/>
  <c r="L37"/>
  <c r="F38"/>
  <c r="H38"/>
  <c r="J38"/>
  <c r="L38"/>
  <c r="F39"/>
  <c r="L39"/>
  <c r="F40"/>
  <c r="L40"/>
  <c r="F41"/>
  <c r="H41"/>
  <c r="J41"/>
  <c r="L41"/>
  <c r="K69" i="8902"/>
  <c r="K70"/>
  <c r="K71"/>
  <c r="K72"/>
  <c r="K73"/>
  <c r="K74"/>
  <c r="K75"/>
  <c r="K76"/>
  <c r="K77"/>
  <c r="I65" i="8812"/>
  <c r="E28" i="8896"/>
  <c r="F28"/>
  <c r="I23" i="8812"/>
  <c r="E29" i="8896"/>
  <c r="C29"/>
  <c r="F29"/>
  <c r="I66" i="8812"/>
  <c r="E30" i="8896"/>
  <c r="F30"/>
  <c r="C9" i="4348"/>
  <c r="E412"/>
  <c r="F412"/>
  <c r="F413"/>
  <c r="F414"/>
  <c r="F54" i="1911"/>
  <c r="E31" i="8896"/>
  <c r="F31"/>
  <c r="C10" i="4348"/>
  <c r="E44"/>
  <c r="F44"/>
  <c r="F45"/>
  <c r="F46"/>
  <c r="F8" i="1911"/>
  <c r="E33" i="8896"/>
  <c r="F33"/>
  <c r="E253" i="4348"/>
  <c r="F253"/>
  <c r="F254"/>
  <c r="F255"/>
  <c r="F34" i="1911"/>
  <c r="E34" i="8896"/>
  <c r="F34"/>
  <c r="E396" i="4348"/>
  <c r="F396"/>
  <c r="F397"/>
  <c r="F398"/>
  <c r="F58" i="1911"/>
  <c r="E35" i="8896"/>
  <c r="F35"/>
  <c r="E92" i="4348"/>
  <c r="F92"/>
  <c r="F93"/>
  <c r="F94"/>
  <c r="F14" i="1911"/>
  <c r="E36" i="8896"/>
  <c r="F36"/>
  <c r="F43"/>
  <c r="F10" i="16"/>
  <c r="C15" i="4348"/>
  <c r="F15"/>
  <c r="E415"/>
  <c r="F415"/>
  <c r="F416"/>
  <c r="E54" i="1911"/>
  <c r="G31" i="8896"/>
  <c r="H31"/>
  <c r="F7" i="16"/>
  <c r="C13" i="4348"/>
  <c r="F13"/>
  <c r="E47"/>
  <c r="F47"/>
  <c r="F48"/>
  <c r="E8" i="1911"/>
  <c r="G33" i="8896"/>
  <c r="H33"/>
  <c r="G34"/>
  <c r="H34"/>
  <c r="F9" i="16"/>
  <c r="C14" i="4348"/>
  <c r="F14"/>
  <c r="E399"/>
  <c r="F399"/>
  <c r="F400"/>
  <c r="E58" i="1911"/>
  <c r="G35" i="8896"/>
  <c r="H35"/>
  <c r="E95" i="4348"/>
  <c r="F95"/>
  <c r="F96"/>
  <c r="E14" i="1911"/>
  <c r="G36" i="8896"/>
  <c r="H36"/>
  <c r="G39"/>
  <c r="H39"/>
  <c r="F5" i="16"/>
  <c r="G40" i="8896"/>
  <c r="H40"/>
  <c r="F12" i="16"/>
  <c r="G41" i="8896"/>
  <c r="H41"/>
  <c r="G42"/>
  <c r="H42"/>
  <c r="H43"/>
  <c r="C6" i="4348"/>
  <c r="B410"/>
  <c r="E417"/>
  <c r="F417"/>
  <c r="F418"/>
  <c r="G54" i="1911"/>
  <c r="I31" i="8896"/>
  <c r="J31"/>
  <c r="E433" i="4348"/>
  <c r="F433"/>
  <c r="F434"/>
  <c r="G56" i="1911"/>
  <c r="I32" i="8896"/>
  <c r="J32"/>
  <c r="E49" i="4348"/>
  <c r="F49"/>
  <c r="F50"/>
  <c r="G8" i="1911"/>
  <c r="I33" i="8896"/>
  <c r="J33"/>
  <c r="E258" i="4348"/>
  <c r="F258"/>
  <c r="F259"/>
  <c r="G34" i="1911"/>
  <c r="I34" i="8896"/>
  <c r="J34"/>
  <c r="E401" i="4348"/>
  <c r="F401"/>
  <c r="F402"/>
  <c r="G58" i="1911"/>
  <c r="I35" i="8896"/>
  <c r="J35"/>
  <c r="E97" i="4348"/>
  <c r="F97"/>
  <c r="F98"/>
  <c r="G14" i="1911"/>
  <c r="I36" i="8896"/>
  <c r="J36"/>
  <c r="B442" i="4348"/>
  <c r="E449"/>
  <c r="F449"/>
  <c r="F450"/>
  <c r="G60" i="1911"/>
  <c r="I37" i="8896"/>
  <c r="J37"/>
  <c r="E299" i="4348"/>
  <c r="F299"/>
  <c r="F300"/>
  <c r="F301"/>
  <c r="F302"/>
  <c r="F303"/>
  <c r="B297"/>
  <c r="E304"/>
  <c r="F304"/>
  <c r="F305"/>
  <c r="F310"/>
  <c r="G40" i="1911"/>
  <c r="I38" i="8896"/>
  <c r="J38"/>
  <c r="J43"/>
  <c r="K43"/>
  <c r="I19" i="8812"/>
  <c r="E19" i="8896"/>
  <c r="F19"/>
  <c r="I20" i="8812"/>
  <c r="E20" i="8896"/>
  <c r="F20"/>
  <c r="E24"/>
  <c r="F24"/>
  <c r="F26"/>
  <c r="G21"/>
  <c r="H21"/>
  <c r="G22"/>
  <c r="H22"/>
  <c r="G23"/>
  <c r="H23"/>
  <c r="H26"/>
  <c r="I25"/>
  <c r="J25"/>
  <c r="J26"/>
  <c r="K26"/>
  <c r="I44" i="8812"/>
  <c r="E11" i="8896"/>
  <c r="F11"/>
  <c r="I45" i="8812"/>
  <c r="E12" i="8896"/>
  <c r="F12"/>
  <c r="E15"/>
  <c r="F15"/>
  <c r="F17"/>
  <c r="G13"/>
  <c r="H13"/>
  <c r="G14"/>
  <c r="H14"/>
  <c r="H17"/>
  <c r="I16"/>
  <c r="J16"/>
  <c r="J17"/>
  <c r="K17"/>
  <c r="E5"/>
  <c r="F5"/>
  <c r="F9"/>
  <c r="E256" i="4348"/>
  <c r="F256"/>
  <c r="F257"/>
  <c r="E34" i="1911"/>
  <c r="G5" i="8896"/>
  <c r="H5"/>
  <c r="F3" i="16"/>
  <c r="G6" i="8896"/>
  <c r="H6"/>
  <c r="G7"/>
  <c r="H7"/>
  <c r="H9"/>
  <c r="I5"/>
  <c r="J5"/>
  <c r="I8"/>
  <c r="J8"/>
  <c r="J9"/>
  <c r="K9"/>
  <c r="K44"/>
  <c r="E73"/>
  <c r="F73"/>
  <c r="E74"/>
  <c r="C74"/>
  <c r="F74"/>
  <c r="E75"/>
  <c r="F75"/>
  <c r="E76"/>
  <c r="F76"/>
  <c r="E78"/>
  <c r="F78"/>
  <c r="E79"/>
  <c r="F79"/>
  <c r="E80"/>
  <c r="F80"/>
  <c r="E81"/>
  <c r="F81"/>
  <c r="F88"/>
  <c r="G76"/>
  <c r="H76"/>
  <c r="G78"/>
  <c r="H78"/>
  <c r="G79"/>
  <c r="H79"/>
  <c r="G80"/>
  <c r="H80"/>
  <c r="G81"/>
  <c r="H81"/>
  <c r="G84"/>
  <c r="H84"/>
  <c r="G85"/>
  <c r="H85"/>
  <c r="G86"/>
  <c r="H86"/>
  <c r="G87"/>
  <c r="H87"/>
  <c r="H88"/>
  <c r="I76"/>
  <c r="J76"/>
  <c r="I77"/>
  <c r="J77"/>
  <c r="I78"/>
  <c r="J78"/>
  <c r="I79"/>
  <c r="J79"/>
  <c r="I80"/>
  <c r="J80"/>
  <c r="I81"/>
  <c r="J81"/>
  <c r="I82"/>
  <c r="J82"/>
  <c r="I83"/>
  <c r="J83"/>
  <c r="J88"/>
  <c r="K88"/>
  <c r="E64"/>
  <c r="F64"/>
  <c r="E65"/>
  <c r="F65"/>
  <c r="E69"/>
  <c r="F69"/>
  <c r="F71"/>
  <c r="G66"/>
  <c r="H66"/>
  <c r="G67"/>
  <c r="H67"/>
  <c r="G68"/>
  <c r="H68"/>
  <c r="H71"/>
  <c r="I70"/>
  <c r="J70"/>
  <c r="J71"/>
  <c r="K71"/>
  <c r="E56"/>
  <c r="F56"/>
  <c r="E57"/>
  <c r="F57"/>
  <c r="E60"/>
  <c r="F60"/>
  <c r="F62"/>
  <c r="G58"/>
  <c r="H58"/>
  <c r="G59"/>
  <c r="H59"/>
  <c r="H62"/>
  <c r="I61"/>
  <c r="J61"/>
  <c r="J62"/>
  <c r="K62"/>
  <c r="E50"/>
  <c r="F50"/>
  <c r="F54"/>
  <c r="G50"/>
  <c r="H50"/>
  <c r="G51"/>
  <c r="H51"/>
  <c r="G52"/>
  <c r="H52"/>
  <c r="H54"/>
  <c r="I50"/>
  <c r="J50"/>
  <c r="I53"/>
  <c r="J53"/>
  <c r="J54"/>
  <c r="K54"/>
  <c r="K89"/>
  <c r="E118"/>
  <c r="F118"/>
  <c r="E119"/>
  <c r="F119"/>
  <c r="E120"/>
  <c r="F120"/>
  <c r="E121"/>
  <c r="F121"/>
  <c r="E123"/>
  <c r="F123"/>
  <c r="E124"/>
  <c r="F124"/>
  <c r="E125"/>
  <c r="F125"/>
  <c r="E126"/>
  <c r="F126"/>
  <c r="F133"/>
  <c r="G121"/>
  <c r="H121"/>
  <c r="G123"/>
  <c r="H123"/>
  <c r="G124"/>
  <c r="H124"/>
  <c r="G125"/>
  <c r="H125"/>
  <c r="G126"/>
  <c r="H126"/>
  <c r="G129"/>
  <c r="H129"/>
  <c r="G130"/>
  <c r="H130"/>
  <c r="G131"/>
  <c r="H131"/>
  <c r="G132"/>
  <c r="H132"/>
  <c r="H133"/>
  <c r="I121"/>
  <c r="J121"/>
  <c r="I122"/>
  <c r="J122"/>
  <c r="I123"/>
  <c r="J123"/>
  <c r="I124"/>
  <c r="J124"/>
  <c r="I125"/>
  <c r="J125"/>
  <c r="I126"/>
  <c r="J126"/>
  <c r="I127"/>
  <c r="J127"/>
  <c r="I128"/>
  <c r="J128"/>
  <c r="J133"/>
  <c r="K133"/>
  <c r="G111"/>
  <c r="H111"/>
  <c r="G112"/>
  <c r="H112"/>
  <c r="G113"/>
  <c r="H113"/>
  <c r="H116"/>
  <c r="I115"/>
  <c r="J115"/>
  <c r="J116"/>
  <c r="F109"/>
  <c r="F110"/>
  <c r="E114"/>
  <c r="F114"/>
  <c r="F116"/>
  <c r="K116"/>
  <c r="E101"/>
  <c r="F101"/>
  <c r="E102"/>
  <c r="F102"/>
  <c r="E105"/>
  <c r="F105"/>
  <c r="F107"/>
  <c r="G103"/>
  <c r="H103"/>
  <c r="G104"/>
  <c r="H104"/>
  <c r="H107"/>
  <c r="I106"/>
  <c r="J106"/>
  <c r="J107"/>
  <c r="K107"/>
  <c r="E95"/>
  <c r="F95"/>
  <c r="F99"/>
  <c r="G95"/>
  <c r="H95"/>
  <c r="G96"/>
  <c r="H96"/>
  <c r="G97"/>
  <c r="H97"/>
  <c r="H99"/>
  <c r="I95"/>
  <c r="J95"/>
  <c r="I98"/>
  <c r="J98"/>
  <c r="J99"/>
  <c r="K99"/>
  <c r="K134"/>
  <c r="F44"/>
  <c r="H44"/>
  <c r="J44"/>
  <c r="F89"/>
  <c r="H89"/>
  <c r="J89"/>
  <c r="F134"/>
  <c r="H134"/>
  <c r="J134"/>
  <c r="J4" i="8887"/>
  <c r="H4"/>
  <c r="I62" i="8812"/>
  <c r="E4" i="8887"/>
  <c r="F4"/>
  <c r="K4"/>
  <c r="J5"/>
  <c r="H5"/>
  <c r="I63" i="8812"/>
  <c r="E5" i="8887"/>
  <c r="F5"/>
  <c r="K5"/>
  <c r="J6"/>
  <c r="H6"/>
  <c r="I64" i="8812"/>
  <c r="E6" i="8887"/>
  <c r="F6"/>
  <c r="K6"/>
  <c r="J7"/>
  <c r="G7"/>
  <c r="H7"/>
  <c r="F7"/>
  <c r="K7"/>
  <c r="J8"/>
  <c r="G8"/>
  <c r="H8"/>
  <c r="F8"/>
  <c r="K8"/>
  <c r="J9"/>
  <c r="G9"/>
  <c r="H9"/>
  <c r="F9"/>
  <c r="K9"/>
  <c r="E369" i="4348"/>
  <c r="F369"/>
  <c r="F370"/>
  <c r="G50" i="1911"/>
  <c r="I10" i="8887"/>
  <c r="J10"/>
  <c r="E367" i="4348"/>
  <c r="F367"/>
  <c r="F368"/>
  <c r="E50" i="1911"/>
  <c r="G10" i="8887"/>
  <c r="H10"/>
  <c r="E364" i="4348"/>
  <c r="F364"/>
  <c r="F365"/>
  <c r="F366"/>
  <c r="F50" i="1911"/>
  <c r="E10" i="8887"/>
  <c r="F10"/>
  <c r="K10"/>
  <c r="E81" i="4348"/>
  <c r="F81"/>
  <c r="F82"/>
  <c r="G12" i="1911"/>
  <c r="I11" i="8887"/>
  <c r="J11"/>
  <c r="E79" i="4348"/>
  <c r="F79"/>
  <c r="F80"/>
  <c r="E12" i="1911"/>
  <c r="G11" i="8887"/>
  <c r="H11"/>
  <c r="E76" i="4348"/>
  <c r="F76"/>
  <c r="F77"/>
  <c r="F78"/>
  <c r="F12" i="1911"/>
  <c r="E11" i="8887"/>
  <c r="F11"/>
  <c r="K11"/>
  <c r="E112" i="4348"/>
  <c r="F112"/>
  <c r="F113"/>
  <c r="G16" i="1911"/>
  <c r="I12" i="8887"/>
  <c r="J12"/>
  <c r="E110" i="4348"/>
  <c r="F110"/>
  <c r="F111"/>
  <c r="E16" i="1911"/>
  <c r="G12" i="8887"/>
  <c r="H12"/>
  <c r="E107" i="4348"/>
  <c r="F107"/>
  <c r="F108"/>
  <c r="F109"/>
  <c r="F16" i="1911"/>
  <c r="E12" i="8887"/>
  <c r="F12"/>
  <c r="K12"/>
  <c r="I13"/>
  <c r="J13"/>
  <c r="G13"/>
  <c r="H13"/>
  <c r="E13"/>
  <c r="F13"/>
  <c r="K13"/>
  <c r="E385" i="4348"/>
  <c r="F385"/>
  <c r="F386"/>
  <c r="G52" i="1911"/>
  <c r="I14" i="8887"/>
  <c r="J14"/>
  <c r="H14"/>
  <c r="F14"/>
  <c r="K14"/>
  <c r="F15"/>
  <c r="K15"/>
  <c r="F16"/>
  <c r="K16"/>
  <c r="K17"/>
  <c r="A18"/>
  <c r="J21"/>
  <c r="H21"/>
  <c r="E21"/>
  <c r="F21"/>
  <c r="K21"/>
  <c r="J22"/>
  <c r="H22"/>
  <c r="E22"/>
  <c r="F22"/>
  <c r="K22"/>
  <c r="J23"/>
  <c r="H23"/>
  <c r="E23"/>
  <c r="F23"/>
  <c r="K23"/>
  <c r="J24"/>
  <c r="G24"/>
  <c r="H24"/>
  <c r="F24"/>
  <c r="K24"/>
  <c r="J25"/>
  <c r="G25"/>
  <c r="H25"/>
  <c r="F25"/>
  <c r="K25"/>
  <c r="J26"/>
  <c r="G26"/>
  <c r="H26"/>
  <c r="F26"/>
  <c r="K26"/>
  <c r="I27"/>
  <c r="J27"/>
  <c r="G27"/>
  <c r="H27"/>
  <c r="E27"/>
  <c r="F27"/>
  <c r="K27"/>
  <c r="I28"/>
  <c r="J28"/>
  <c r="G28"/>
  <c r="H28"/>
  <c r="E28"/>
  <c r="F28"/>
  <c r="K28"/>
  <c r="I29"/>
  <c r="J29"/>
  <c r="G29"/>
  <c r="H29"/>
  <c r="E29"/>
  <c r="F29"/>
  <c r="K29"/>
  <c r="I30"/>
  <c r="J30"/>
  <c r="G30"/>
  <c r="H30"/>
  <c r="E30"/>
  <c r="F30"/>
  <c r="K30"/>
  <c r="I31"/>
  <c r="J31"/>
  <c r="H31"/>
  <c r="F31"/>
  <c r="K31"/>
  <c r="F32"/>
  <c r="K32"/>
  <c r="K33"/>
  <c r="K34"/>
  <c r="K35"/>
  <c r="A36"/>
  <c r="J39"/>
  <c r="J40"/>
  <c r="J41"/>
  <c r="J42"/>
  <c r="J43"/>
  <c r="J44"/>
  <c r="I45"/>
  <c r="J45"/>
  <c r="I46"/>
  <c r="J46"/>
  <c r="I47"/>
  <c r="J47"/>
  <c r="I48"/>
  <c r="J48"/>
  <c r="I49"/>
  <c r="J49"/>
  <c r="J53"/>
  <c r="H39"/>
  <c r="H40"/>
  <c r="H41"/>
  <c r="G42"/>
  <c r="H42"/>
  <c r="G43"/>
  <c r="H43"/>
  <c r="G44"/>
  <c r="H44"/>
  <c r="G45"/>
  <c r="H45"/>
  <c r="G46"/>
  <c r="H46"/>
  <c r="G47"/>
  <c r="H47"/>
  <c r="G48"/>
  <c r="H48"/>
  <c r="H49"/>
  <c r="H53"/>
  <c r="E39"/>
  <c r="F39"/>
  <c r="E40"/>
  <c r="F40"/>
  <c r="E41"/>
  <c r="F41"/>
  <c r="F42"/>
  <c r="F43"/>
  <c r="F44"/>
  <c r="E45"/>
  <c r="F45"/>
  <c r="E46"/>
  <c r="F46"/>
  <c r="E47"/>
  <c r="F47"/>
  <c r="E48"/>
  <c r="F48"/>
  <c r="F49"/>
  <c r="F50"/>
  <c r="F53"/>
  <c r="K53"/>
  <c r="A54"/>
  <c r="J57"/>
  <c r="J58"/>
  <c r="J59"/>
  <c r="J60"/>
  <c r="J61"/>
  <c r="J62"/>
  <c r="I63"/>
  <c r="J63"/>
  <c r="I64"/>
  <c r="J64"/>
  <c r="I65"/>
  <c r="J65"/>
  <c r="I66"/>
  <c r="J66"/>
  <c r="J67"/>
  <c r="J71"/>
  <c r="H57"/>
  <c r="H58"/>
  <c r="H59"/>
  <c r="G60"/>
  <c r="H60"/>
  <c r="G61"/>
  <c r="H61"/>
  <c r="G62"/>
  <c r="H62"/>
  <c r="G63"/>
  <c r="H63"/>
  <c r="G64"/>
  <c r="H64"/>
  <c r="G65"/>
  <c r="H65"/>
  <c r="G66"/>
  <c r="H66"/>
  <c r="H67"/>
  <c r="H71"/>
  <c r="E57"/>
  <c r="F57"/>
  <c r="E58"/>
  <c r="F58"/>
  <c r="E59"/>
  <c r="F59"/>
  <c r="F60"/>
  <c r="F61"/>
  <c r="F62"/>
  <c r="E63"/>
  <c r="F63"/>
  <c r="E64"/>
  <c r="F64"/>
  <c r="E65"/>
  <c r="F65"/>
  <c r="E66"/>
  <c r="F66"/>
  <c r="F67"/>
  <c r="F68"/>
  <c r="F71"/>
  <c r="K71"/>
  <c r="A72"/>
  <c r="J75"/>
  <c r="J76"/>
  <c r="J77"/>
  <c r="J78"/>
  <c r="J79"/>
  <c r="J80"/>
  <c r="I81"/>
  <c r="J81"/>
  <c r="I82"/>
  <c r="J82"/>
  <c r="I83"/>
  <c r="J83"/>
  <c r="I84"/>
  <c r="J84"/>
  <c r="I85"/>
  <c r="J85"/>
  <c r="J89"/>
  <c r="H75"/>
  <c r="H76"/>
  <c r="H77"/>
  <c r="G78"/>
  <c r="H78"/>
  <c r="G79"/>
  <c r="H79"/>
  <c r="G80"/>
  <c r="H80"/>
  <c r="G81"/>
  <c r="H81"/>
  <c r="G82"/>
  <c r="H82"/>
  <c r="G83"/>
  <c r="H83"/>
  <c r="G84"/>
  <c r="H84"/>
  <c r="H85"/>
  <c r="H89"/>
  <c r="E75"/>
  <c r="F75"/>
  <c r="E76"/>
  <c r="F76"/>
  <c r="E77"/>
  <c r="F77"/>
  <c r="F78"/>
  <c r="F79"/>
  <c r="F80"/>
  <c r="E81"/>
  <c r="F81"/>
  <c r="E82"/>
  <c r="F82"/>
  <c r="E83"/>
  <c r="F83"/>
  <c r="E84"/>
  <c r="F84"/>
  <c r="F85"/>
  <c r="F86"/>
  <c r="F89"/>
  <c r="K89"/>
  <c r="A90"/>
  <c r="F17"/>
  <c r="H17"/>
  <c r="J17"/>
  <c r="I48" i="8812"/>
  <c r="I56"/>
  <c r="I58"/>
  <c r="I60"/>
  <c r="I61"/>
  <c r="I55"/>
  <c r="I57"/>
  <c r="E284" i="4348"/>
  <c r="F284"/>
  <c r="F285"/>
  <c r="F286"/>
  <c r="F38" i="1911"/>
  <c r="E191" i="4348"/>
  <c r="F191"/>
  <c r="E287"/>
  <c r="F287"/>
  <c r="F288"/>
  <c r="E38" i="1911"/>
  <c r="E289" i="4348"/>
  <c r="F289"/>
  <c r="F290"/>
  <c r="G38" i="1911"/>
  <c r="I59" i="8812"/>
  <c r="I54"/>
  <c r="I53"/>
  <c r="I52"/>
  <c r="H23" i="8830"/>
  <c r="H26"/>
  <c r="I17" i="8812"/>
  <c r="I16"/>
  <c r="H13" i="8830"/>
  <c r="H7"/>
  <c r="I51" i="8812"/>
  <c r="I49"/>
  <c r="I50"/>
  <c r="F14" i="8891"/>
  <c r="G14"/>
  <c r="F16"/>
  <c r="G16"/>
  <c r="F17"/>
  <c r="G17"/>
  <c r="F18"/>
  <c r="G18"/>
  <c r="F19"/>
  <c r="G19"/>
  <c r="G24"/>
  <c r="H18"/>
  <c r="I18"/>
  <c r="H19"/>
  <c r="I19"/>
  <c r="H20"/>
  <c r="I20"/>
  <c r="H21"/>
  <c r="I21"/>
  <c r="H22"/>
  <c r="I22"/>
  <c r="H23"/>
  <c r="I23"/>
  <c r="I24"/>
  <c r="J18"/>
  <c r="K18"/>
  <c r="J19"/>
  <c r="K19"/>
  <c r="K24"/>
  <c r="E24"/>
  <c r="F6"/>
  <c r="G6"/>
  <c r="E6"/>
  <c r="F7"/>
  <c r="G7"/>
  <c r="E7"/>
  <c r="H8"/>
  <c r="I8"/>
  <c r="E8"/>
  <c r="H9"/>
  <c r="I9"/>
  <c r="E9"/>
  <c r="H10"/>
  <c r="I10"/>
  <c r="E10"/>
  <c r="F11"/>
  <c r="G11"/>
  <c r="E11"/>
  <c r="E12"/>
  <c r="E39"/>
  <c r="F53"/>
  <c r="G53"/>
  <c r="F56"/>
  <c r="G56"/>
  <c r="F57"/>
  <c r="G57"/>
  <c r="F58"/>
  <c r="G58"/>
  <c r="F59"/>
  <c r="C59"/>
  <c r="G59"/>
  <c r="F60"/>
  <c r="C60"/>
  <c r="G60"/>
  <c r="F61"/>
  <c r="C61"/>
  <c r="G61"/>
  <c r="F66"/>
  <c r="G66"/>
  <c r="G68"/>
  <c r="H58"/>
  <c r="I58"/>
  <c r="H59"/>
  <c r="I59"/>
  <c r="H60"/>
  <c r="I60"/>
  <c r="H61"/>
  <c r="I61"/>
  <c r="H62"/>
  <c r="I62"/>
  <c r="H63"/>
  <c r="I63"/>
  <c r="H64"/>
  <c r="I64"/>
  <c r="H65"/>
  <c r="I65"/>
  <c r="H67"/>
  <c r="I67"/>
  <c r="I68"/>
  <c r="J58"/>
  <c r="K58"/>
  <c r="J59"/>
  <c r="K59"/>
  <c r="J60"/>
  <c r="K60"/>
  <c r="J61"/>
  <c r="K61"/>
  <c r="K68"/>
  <c r="E68"/>
  <c r="F45"/>
  <c r="G45"/>
  <c r="E45"/>
  <c r="F46"/>
  <c r="G46"/>
  <c r="E46"/>
  <c r="H47"/>
  <c r="I47"/>
  <c r="E47"/>
  <c r="H48"/>
  <c r="I48"/>
  <c r="E48"/>
  <c r="H49"/>
  <c r="I49"/>
  <c r="E49"/>
  <c r="F50"/>
  <c r="G50"/>
  <c r="E50"/>
  <c r="E51"/>
  <c r="E82"/>
  <c r="F96"/>
  <c r="G96"/>
  <c r="F99"/>
  <c r="G99"/>
  <c r="F100"/>
  <c r="G100"/>
  <c r="F101"/>
  <c r="G101"/>
  <c r="F102"/>
  <c r="G102"/>
  <c r="F103"/>
  <c r="G103"/>
  <c r="F104"/>
  <c r="G104"/>
  <c r="F109"/>
  <c r="G109"/>
  <c r="G111"/>
  <c r="H101"/>
  <c r="I101"/>
  <c r="H102"/>
  <c r="I102"/>
  <c r="H103"/>
  <c r="I103"/>
  <c r="H104"/>
  <c r="I104"/>
  <c r="H105"/>
  <c r="I105"/>
  <c r="H106"/>
  <c r="I106"/>
  <c r="H107"/>
  <c r="I107"/>
  <c r="H108"/>
  <c r="I108"/>
  <c r="H110"/>
  <c r="I110"/>
  <c r="I111"/>
  <c r="J101"/>
  <c r="K101"/>
  <c r="J102"/>
  <c r="K102"/>
  <c r="J103"/>
  <c r="K103"/>
  <c r="J104"/>
  <c r="K104"/>
  <c r="K111"/>
  <c r="E111"/>
  <c r="H91"/>
  <c r="I91"/>
  <c r="E91"/>
  <c r="E125"/>
  <c r="F139"/>
  <c r="G139"/>
  <c r="F142"/>
  <c r="G142"/>
  <c r="F143"/>
  <c r="G143"/>
  <c r="F144"/>
  <c r="G144"/>
  <c r="F145"/>
  <c r="G145"/>
  <c r="F146"/>
  <c r="G146"/>
  <c r="F147"/>
  <c r="G147"/>
  <c r="F152"/>
  <c r="G152"/>
  <c r="G154"/>
  <c r="H144"/>
  <c r="I144"/>
  <c r="H145"/>
  <c r="I145"/>
  <c r="H146"/>
  <c r="I146"/>
  <c r="H147"/>
  <c r="I147"/>
  <c r="H148"/>
  <c r="I148"/>
  <c r="H149"/>
  <c r="I149"/>
  <c r="H150"/>
  <c r="I150"/>
  <c r="H151"/>
  <c r="I151"/>
  <c r="H153"/>
  <c r="I153"/>
  <c r="I154"/>
  <c r="J144"/>
  <c r="K144"/>
  <c r="J145"/>
  <c r="K145"/>
  <c r="J146"/>
  <c r="K146"/>
  <c r="J147"/>
  <c r="K147"/>
  <c r="K154"/>
  <c r="E154"/>
  <c r="F131"/>
  <c r="G131"/>
  <c r="E131"/>
  <c r="F132"/>
  <c r="G132"/>
  <c r="E132"/>
  <c r="H133"/>
  <c r="I133"/>
  <c r="E133"/>
  <c r="H134"/>
  <c r="I134"/>
  <c r="E134"/>
  <c r="H135"/>
  <c r="I135"/>
  <c r="E135"/>
  <c r="F136"/>
  <c r="G136"/>
  <c r="E136"/>
  <c r="E137"/>
  <c r="E169"/>
  <c r="F197"/>
  <c r="G197"/>
  <c r="F200"/>
  <c r="G200"/>
  <c r="F201"/>
  <c r="G201"/>
  <c r="F202"/>
  <c r="G202"/>
  <c r="F203"/>
  <c r="G203"/>
  <c r="F204"/>
  <c r="G204"/>
  <c r="G205"/>
  <c r="F210"/>
  <c r="G210"/>
  <c r="G212"/>
  <c r="H202"/>
  <c r="I202"/>
  <c r="H203"/>
  <c r="I203"/>
  <c r="H204"/>
  <c r="I204"/>
  <c r="I205"/>
  <c r="H206"/>
  <c r="I206"/>
  <c r="H207"/>
  <c r="I207"/>
  <c r="H208"/>
  <c r="I208"/>
  <c r="H209"/>
  <c r="I209"/>
  <c r="H211"/>
  <c r="I211"/>
  <c r="I212"/>
  <c r="J202"/>
  <c r="K202"/>
  <c r="J203"/>
  <c r="K203"/>
  <c r="J204"/>
  <c r="K204"/>
  <c r="K205"/>
  <c r="K212"/>
  <c r="E212"/>
  <c r="C187"/>
  <c r="F187"/>
  <c r="G187"/>
  <c r="E187"/>
  <c r="C188"/>
  <c r="F188"/>
  <c r="G188"/>
  <c r="E188"/>
  <c r="C189"/>
  <c r="H189"/>
  <c r="I189"/>
  <c r="E189"/>
  <c r="C190"/>
  <c r="H190"/>
  <c r="I190"/>
  <c r="E190"/>
  <c r="C191"/>
  <c r="H191"/>
  <c r="I191"/>
  <c r="E191"/>
  <c r="C181"/>
  <c r="F181"/>
  <c r="G181"/>
  <c r="C182"/>
  <c r="F182"/>
  <c r="G182"/>
  <c r="C175"/>
  <c r="F175"/>
  <c r="G175"/>
  <c r="F192"/>
  <c r="G192"/>
  <c r="E192"/>
  <c r="C183"/>
  <c r="H183"/>
  <c r="I183"/>
  <c r="C184"/>
  <c r="H184"/>
  <c r="I184"/>
  <c r="I185"/>
  <c r="H175"/>
  <c r="I175"/>
  <c r="C176"/>
  <c r="H176"/>
  <c r="I176"/>
  <c r="C177"/>
  <c r="H177"/>
  <c r="I177"/>
  <c r="I179"/>
  <c r="H193"/>
  <c r="I193"/>
  <c r="E193"/>
  <c r="E194"/>
  <c r="G185"/>
  <c r="E185"/>
  <c r="G179"/>
  <c r="J175"/>
  <c r="K175"/>
  <c r="C178"/>
  <c r="J178"/>
  <c r="K178"/>
  <c r="K179"/>
  <c r="E179"/>
  <c r="E215"/>
  <c r="F243"/>
  <c r="G243"/>
  <c r="F246"/>
  <c r="G246"/>
  <c r="F247"/>
  <c r="G247"/>
  <c r="F248"/>
  <c r="G248"/>
  <c r="F249"/>
  <c r="G249"/>
  <c r="F250"/>
  <c r="G250"/>
  <c r="F251"/>
  <c r="G251"/>
  <c r="F256"/>
  <c r="G256"/>
  <c r="G258"/>
  <c r="H248"/>
  <c r="I248"/>
  <c r="H249"/>
  <c r="I249"/>
  <c r="H250"/>
  <c r="I250"/>
  <c r="H251"/>
  <c r="I251"/>
  <c r="H252"/>
  <c r="I252"/>
  <c r="H253"/>
  <c r="I253"/>
  <c r="H254"/>
  <c r="I254"/>
  <c r="H255"/>
  <c r="I255"/>
  <c r="H257"/>
  <c r="I257"/>
  <c r="I258"/>
  <c r="J248"/>
  <c r="K248"/>
  <c r="J249"/>
  <c r="K249"/>
  <c r="J250"/>
  <c r="K250"/>
  <c r="J251"/>
  <c r="K251"/>
  <c r="K258"/>
  <c r="E258"/>
  <c r="C233"/>
  <c r="F233"/>
  <c r="G233"/>
  <c r="E233"/>
  <c r="C234"/>
  <c r="F234"/>
  <c r="G234"/>
  <c r="E234"/>
  <c r="C235"/>
  <c r="H235"/>
  <c r="I235"/>
  <c r="E235"/>
  <c r="C236"/>
  <c r="H236"/>
  <c r="I236"/>
  <c r="E236"/>
  <c r="C237"/>
  <c r="H237"/>
  <c r="I237"/>
  <c r="E237"/>
  <c r="C227"/>
  <c r="F227"/>
  <c r="G227"/>
  <c r="C228"/>
  <c r="F228"/>
  <c r="G228"/>
  <c r="C221"/>
  <c r="F221"/>
  <c r="G221"/>
  <c r="F238"/>
  <c r="G238"/>
  <c r="E238"/>
  <c r="C229"/>
  <c r="H229"/>
  <c r="I229"/>
  <c r="C230"/>
  <c r="H230"/>
  <c r="I230"/>
  <c r="I231"/>
  <c r="H221"/>
  <c r="I221"/>
  <c r="C222"/>
  <c r="H222"/>
  <c r="I222"/>
  <c r="C223"/>
  <c r="H223"/>
  <c r="I223"/>
  <c r="I225"/>
  <c r="H239"/>
  <c r="I239"/>
  <c r="E239"/>
  <c r="E240"/>
  <c r="G231"/>
  <c r="E231"/>
  <c r="G225"/>
  <c r="J221"/>
  <c r="K221"/>
  <c r="C224"/>
  <c r="J224"/>
  <c r="K224"/>
  <c r="K225"/>
  <c r="E225"/>
  <c r="E261"/>
  <c r="G12"/>
  <c r="I12"/>
  <c r="E14"/>
  <c r="E15"/>
  <c r="F15"/>
  <c r="E16"/>
  <c r="E17"/>
  <c r="E18"/>
  <c r="E19"/>
  <c r="E20"/>
  <c r="E21"/>
  <c r="E22"/>
  <c r="E23"/>
  <c r="G39"/>
  <c r="I39"/>
  <c r="K39"/>
  <c r="G51"/>
  <c r="I51"/>
  <c r="E53"/>
  <c r="E54"/>
  <c r="F54"/>
  <c r="E55"/>
  <c r="F55"/>
  <c r="E56"/>
  <c r="E57"/>
  <c r="E58"/>
  <c r="E59"/>
  <c r="E60"/>
  <c r="E61"/>
  <c r="E62"/>
  <c r="E63"/>
  <c r="E64"/>
  <c r="E65"/>
  <c r="E66"/>
  <c r="E67"/>
  <c r="G82"/>
  <c r="I82"/>
  <c r="K82"/>
  <c r="F88"/>
  <c r="G88"/>
  <c r="E88"/>
  <c r="F89"/>
  <c r="G89"/>
  <c r="E89"/>
  <c r="H90"/>
  <c r="I90"/>
  <c r="E90"/>
  <c r="H92"/>
  <c r="I92"/>
  <c r="E92"/>
  <c r="F93"/>
  <c r="G93"/>
  <c r="E93"/>
  <c r="E94"/>
  <c r="G94"/>
  <c r="I94"/>
  <c r="E96"/>
  <c r="E97"/>
  <c r="F97"/>
  <c r="E98"/>
  <c r="F98"/>
  <c r="E99"/>
  <c r="E100"/>
  <c r="E101"/>
  <c r="E102"/>
  <c r="E103"/>
  <c r="E104"/>
  <c r="E105"/>
  <c r="E106"/>
  <c r="E107"/>
  <c r="E108"/>
  <c r="E109"/>
  <c r="E110"/>
  <c r="G125"/>
  <c r="I125"/>
  <c r="K125"/>
  <c r="G137"/>
  <c r="I137"/>
  <c r="E139"/>
  <c r="E140"/>
  <c r="F140"/>
  <c r="E141"/>
  <c r="F141"/>
  <c r="E142"/>
  <c r="E143"/>
  <c r="E144"/>
  <c r="E145"/>
  <c r="E146"/>
  <c r="E147"/>
  <c r="E148"/>
  <c r="E149"/>
  <c r="E150"/>
  <c r="E151"/>
  <c r="E152"/>
  <c r="E153"/>
  <c r="G169"/>
  <c r="I169"/>
  <c r="K169"/>
  <c r="E175"/>
  <c r="E176"/>
  <c r="E177"/>
  <c r="E178"/>
  <c r="E181"/>
  <c r="E182"/>
  <c r="E183"/>
  <c r="E184"/>
  <c r="G194"/>
  <c r="I194"/>
  <c r="E195"/>
  <c r="G195"/>
  <c r="I195"/>
  <c r="K195"/>
  <c r="E197"/>
  <c r="E198"/>
  <c r="F198"/>
  <c r="E199"/>
  <c r="F199"/>
  <c r="E200"/>
  <c r="E201"/>
  <c r="E202"/>
  <c r="E203"/>
  <c r="E204"/>
  <c r="E205"/>
  <c r="E206"/>
  <c r="E207"/>
  <c r="E208"/>
  <c r="E209"/>
  <c r="E210"/>
  <c r="E211"/>
  <c r="G215"/>
  <c r="I215"/>
  <c r="K215"/>
  <c r="E221"/>
  <c r="E222"/>
  <c r="E223"/>
  <c r="E224"/>
  <c r="E227"/>
  <c r="E228"/>
  <c r="E229"/>
  <c r="E230"/>
  <c r="G240"/>
  <c r="I240"/>
  <c r="E241"/>
  <c r="G241"/>
  <c r="I241"/>
  <c r="K241"/>
  <c r="E243"/>
  <c r="E244"/>
  <c r="F244"/>
  <c r="E245"/>
  <c r="F245"/>
  <c r="E246"/>
  <c r="E247"/>
  <c r="E248"/>
  <c r="E249"/>
  <c r="E250"/>
  <c r="E251"/>
  <c r="E252"/>
  <c r="E253"/>
  <c r="E254"/>
  <c r="E255"/>
  <c r="E256"/>
  <c r="E257"/>
  <c r="G261"/>
  <c r="I261"/>
  <c r="K261"/>
  <c r="F35" i="8887"/>
  <c r="H35"/>
  <c r="J35"/>
  <c r="K39"/>
  <c r="K40"/>
  <c r="K41"/>
  <c r="K42"/>
  <c r="K43"/>
  <c r="K44"/>
  <c r="K45"/>
  <c r="K46"/>
  <c r="K47"/>
  <c r="K48"/>
  <c r="K49"/>
  <c r="K50"/>
  <c r="K51"/>
  <c r="K52"/>
  <c r="K57"/>
  <c r="K58"/>
  <c r="K59"/>
  <c r="K60"/>
  <c r="K61"/>
  <c r="K62"/>
  <c r="K63"/>
  <c r="K64"/>
  <c r="K65"/>
  <c r="K66"/>
  <c r="K67"/>
  <c r="K68"/>
  <c r="K69"/>
  <c r="K70"/>
  <c r="K75"/>
  <c r="K76"/>
  <c r="K77"/>
  <c r="K78"/>
  <c r="K79"/>
  <c r="K80"/>
  <c r="K81"/>
  <c r="K82"/>
  <c r="K83"/>
  <c r="K84"/>
  <c r="K85"/>
  <c r="K86"/>
  <c r="K87"/>
  <c r="K88"/>
  <c r="I6" i="8882"/>
  <c r="E67" i="8881"/>
  <c r="F67"/>
  <c r="I5" i="8882"/>
  <c r="E66" i="8881"/>
  <c r="F66"/>
  <c r="E106" i="8884"/>
  <c r="F106"/>
  <c r="F107"/>
  <c r="F108"/>
  <c r="E7" i="8885"/>
  <c r="E70" i="8881"/>
  <c r="F70"/>
  <c r="E90" i="8884"/>
  <c r="F90"/>
  <c r="F91"/>
  <c r="F92"/>
  <c r="E6" i="8885"/>
  <c r="E69" i="8881"/>
  <c r="F69"/>
  <c r="E72" i="8884"/>
  <c r="F72"/>
  <c r="F73"/>
  <c r="F74"/>
  <c r="E5" i="8885"/>
  <c r="E68" i="8881"/>
  <c r="F68"/>
  <c r="F75"/>
  <c r="F47"/>
  <c r="G74"/>
  <c r="H74"/>
  <c r="G73"/>
  <c r="H73"/>
  <c r="G72"/>
  <c r="H72"/>
  <c r="F111" i="8884"/>
  <c r="F110"/>
  <c r="E20"/>
  <c r="E109"/>
  <c r="F109"/>
  <c r="F112"/>
  <c r="F7" i="8885"/>
  <c r="G70" i="8881"/>
  <c r="H70"/>
  <c r="F77" i="8884"/>
  <c r="F76"/>
  <c r="E21"/>
  <c r="E75"/>
  <c r="F75"/>
  <c r="F78"/>
  <c r="F5" i="8885"/>
  <c r="G68" i="8881"/>
  <c r="H68"/>
  <c r="H75"/>
  <c r="H47"/>
  <c r="F131" i="8884"/>
  <c r="F132"/>
  <c r="G8" i="8885"/>
  <c r="I71" i="8881"/>
  <c r="J71"/>
  <c r="F113" i="8884"/>
  <c r="F114"/>
  <c r="G7" i="8885"/>
  <c r="I70" i="8881"/>
  <c r="J70"/>
  <c r="F97" i="8884"/>
  <c r="F98"/>
  <c r="G6" i="8885"/>
  <c r="I69" i="8881"/>
  <c r="J69"/>
  <c r="F79" i="8884"/>
  <c r="F80"/>
  <c r="G5" i="8885"/>
  <c r="I68" i="8881"/>
  <c r="J68"/>
  <c r="J75"/>
  <c r="J47"/>
  <c r="K75"/>
  <c r="K47"/>
  <c r="E86"/>
  <c r="F86"/>
  <c r="E85"/>
  <c r="F85"/>
  <c r="E89"/>
  <c r="F89"/>
  <c r="E88"/>
  <c r="F88"/>
  <c r="E87"/>
  <c r="F87"/>
  <c r="F94"/>
  <c r="F48"/>
  <c r="G93"/>
  <c r="H93"/>
  <c r="G92"/>
  <c r="H92"/>
  <c r="G91"/>
  <c r="H91"/>
  <c r="G89"/>
  <c r="H89"/>
  <c r="G87"/>
  <c r="H87"/>
  <c r="H94"/>
  <c r="H48"/>
  <c r="I90"/>
  <c r="J90"/>
  <c r="I89"/>
  <c r="J89"/>
  <c r="I88"/>
  <c r="J88"/>
  <c r="I87"/>
  <c r="J87"/>
  <c r="J94"/>
  <c r="J48"/>
  <c r="K94"/>
  <c r="K48"/>
  <c r="E105"/>
  <c r="F105"/>
  <c r="E104"/>
  <c r="F104"/>
  <c r="E108"/>
  <c r="F108"/>
  <c r="E107"/>
  <c r="F107"/>
  <c r="E106"/>
  <c r="F106"/>
  <c r="F113"/>
  <c r="F49"/>
  <c r="G112"/>
  <c r="H112"/>
  <c r="G111"/>
  <c r="H111"/>
  <c r="G110"/>
  <c r="H110"/>
  <c r="G108"/>
  <c r="H108"/>
  <c r="G106"/>
  <c r="H106"/>
  <c r="H113"/>
  <c r="H49"/>
  <c r="I109"/>
  <c r="J109"/>
  <c r="I108"/>
  <c r="J108"/>
  <c r="I107"/>
  <c r="J107"/>
  <c r="I106"/>
  <c r="J106"/>
  <c r="J113"/>
  <c r="J49"/>
  <c r="K113"/>
  <c r="K49"/>
  <c r="E124"/>
  <c r="F124"/>
  <c r="E123"/>
  <c r="F123"/>
  <c r="E127"/>
  <c r="F127"/>
  <c r="E126"/>
  <c r="F126"/>
  <c r="E125"/>
  <c r="F125"/>
  <c r="F132"/>
  <c r="F50"/>
  <c r="G131"/>
  <c r="H131"/>
  <c r="G130"/>
  <c r="H130"/>
  <c r="G129"/>
  <c r="H129"/>
  <c r="G127"/>
  <c r="H127"/>
  <c r="G125"/>
  <c r="H125"/>
  <c r="H132"/>
  <c r="H50"/>
  <c r="I128"/>
  <c r="J128"/>
  <c r="I127"/>
  <c r="J127"/>
  <c r="I126"/>
  <c r="J126"/>
  <c r="I125"/>
  <c r="J125"/>
  <c r="J132"/>
  <c r="J50"/>
  <c r="K132"/>
  <c r="K50"/>
  <c r="E166"/>
  <c r="F166"/>
  <c r="E167"/>
  <c r="F167"/>
  <c r="E168"/>
  <c r="F168"/>
  <c r="E169"/>
  <c r="F169"/>
  <c r="E170"/>
  <c r="F170"/>
  <c r="F175"/>
  <c r="I9" i="8882"/>
  <c r="E157" i="8881"/>
  <c r="F157"/>
  <c r="I10" i="8882"/>
  <c r="E158" i="8881"/>
  <c r="F158"/>
  <c r="I11" i="8882"/>
  <c r="E159" i="8881"/>
  <c r="F159"/>
  <c r="E56" i="8884"/>
  <c r="F56"/>
  <c r="F57"/>
  <c r="F58"/>
  <c r="E4" i="8885"/>
  <c r="E160" i="8881"/>
  <c r="F160"/>
  <c r="F163"/>
  <c r="I7" i="8882"/>
  <c r="E150" i="8881"/>
  <c r="F150"/>
  <c r="I8" i="8882"/>
  <c r="E151" i="8881"/>
  <c r="F151"/>
  <c r="F154"/>
  <c r="G145"/>
  <c r="H145"/>
  <c r="G146"/>
  <c r="H146"/>
  <c r="F144"/>
  <c r="E38" i="8884"/>
  <c r="F38"/>
  <c r="F39"/>
  <c r="F40"/>
  <c r="E3" i="8885"/>
  <c r="E143" i="8881"/>
  <c r="F143"/>
  <c r="F147"/>
  <c r="F176"/>
  <c r="F51"/>
  <c r="G172"/>
  <c r="H172"/>
  <c r="G173"/>
  <c r="H173"/>
  <c r="G174"/>
  <c r="H174"/>
  <c r="G168"/>
  <c r="H168"/>
  <c r="G170"/>
  <c r="H170"/>
  <c r="H175"/>
  <c r="G161"/>
  <c r="H161"/>
  <c r="G162"/>
  <c r="H162"/>
  <c r="F61" i="8884"/>
  <c r="F60"/>
  <c r="E59"/>
  <c r="F59"/>
  <c r="F62"/>
  <c r="F4" i="8885"/>
  <c r="G160" i="8881"/>
  <c r="H160"/>
  <c r="H163"/>
  <c r="G152"/>
  <c r="H152"/>
  <c r="G153"/>
  <c r="H153"/>
  <c r="H154"/>
  <c r="F43" i="8884"/>
  <c r="F42"/>
  <c r="E41"/>
  <c r="F41"/>
  <c r="F44"/>
  <c r="F3" i="8885"/>
  <c r="G143" i="8881"/>
  <c r="H143"/>
  <c r="H147"/>
  <c r="H176"/>
  <c r="H51"/>
  <c r="I168"/>
  <c r="J168"/>
  <c r="I169"/>
  <c r="J169"/>
  <c r="I170"/>
  <c r="J170"/>
  <c r="I171"/>
  <c r="J171"/>
  <c r="J175"/>
  <c r="F63" i="8884"/>
  <c r="F64"/>
  <c r="G4" i="8885"/>
  <c r="I160" i="8881"/>
  <c r="J160"/>
  <c r="J163"/>
  <c r="F45" i="8884"/>
  <c r="F46"/>
  <c r="G3" i="8885"/>
  <c r="I143" i="8881"/>
  <c r="J143"/>
  <c r="J147"/>
  <c r="J176"/>
  <c r="J51"/>
  <c r="K176"/>
  <c r="K51"/>
  <c r="E204"/>
  <c r="F204"/>
  <c r="E205"/>
  <c r="F205"/>
  <c r="E206"/>
  <c r="F206"/>
  <c r="E207"/>
  <c r="F207"/>
  <c r="E208"/>
  <c r="F208"/>
  <c r="F213"/>
  <c r="E195"/>
  <c r="F195"/>
  <c r="E196"/>
  <c r="F196"/>
  <c r="E197"/>
  <c r="F197"/>
  <c r="E198"/>
  <c r="F198"/>
  <c r="F201"/>
  <c r="E188"/>
  <c r="F188"/>
  <c r="E189"/>
  <c r="F189"/>
  <c r="F192"/>
  <c r="G183"/>
  <c r="H183"/>
  <c r="G184"/>
  <c r="H184"/>
  <c r="F182"/>
  <c r="E181"/>
  <c r="F181"/>
  <c r="F185"/>
  <c r="F214"/>
  <c r="F52"/>
  <c r="G210"/>
  <c r="H210"/>
  <c r="G211"/>
  <c r="H211"/>
  <c r="G212"/>
  <c r="H212"/>
  <c r="G206"/>
  <c r="H206"/>
  <c r="G208"/>
  <c r="H208"/>
  <c r="H213"/>
  <c r="G199"/>
  <c r="H199"/>
  <c r="G200"/>
  <c r="H200"/>
  <c r="G198"/>
  <c r="H198"/>
  <c r="H201"/>
  <c r="G190"/>
  <c r="H190"/>
  <c r="G191"/>
  <c r="H191"/>
  <c r="H192"/>
  <c r="G181"/>
  <c r="H181"/>
  <c r="H185"/>
  <c r="H214"/>
  <c r="H52"/>
  <c r="I206"/>
  <c r="J206"/>
  <c r="I207"/>
  <c r="J207"/>
  <c r="I208"/>
  <c r="J208"/>
  <c r="I209"/>
  <c r="J209"/>
  <c r="J213"/>
  <c r="I198"/>
  <c r="J198"/>
  <c r="J201"/>
  <c r="I181"/>
  <c r="J181"/>
  <c r="J185"/>
  <c r="J214"/>
  <c r="J52"/>
  <c r="K214"/>
  <c r="K52"/>
  <c r="K147"/>
  <c r="K154"/>
  <c r="K163"/>
  <c r="K175"/>
  <c r="K185"/>
  <c r="K192"/>
  <c r="K201"/>
  <c r="K213"/>
  <c r="E4" i="8883"/>
  <c r="E5"/>
  <c r="E6"/>
  <c r="E7"/>
  <c r="E19" i="8884"/>
  <c r="E22"/>
  <c r="E23"/>
  <c r="F49"/>
  <c r="F67"/>
  <c r="F83"/>
  <c r="F93"/>
  <c r="F94"/>
  <c r="F95"/>
  <c r="F96"/>
  <c r="F101"/>
  <c r="F117"/>
  <c r="F124"/>
  <c r="F125"/>
  <c r="F126"/>
  <c r="F127"/>
  <c r="F128"/>
  <c r="F129"/>
  <c r="F130"/>
  <c r="F135"/>
  <c r="H3" i="8885"/>
  <c r="H4"/>
  <c r="H5"/>
  <c r="H6"/>
  <c r="H7"/>
  <c r="H8"/>
  <c r="L9" i="8868"/>
  <c r="L13"/>
  <c r="L14"/>
  <c r="L15"/>
  <c r="L16"/>
  <c r="L16" i="8869"/>
  <c r="J9" i="8868"/>
  <c r="J11"/>
  <c r="J12"/>
  <c r="J14"/>
  <c r="J15"/>
  <c r="J16"/>
  <c r="J16" i="8869"/>
  <c r="H6" i="8868"/>
  <c r="H7"/>
  <c r="H8"/>
  <c r="H9"/>
  <c r="H14"/>
  <c r="H15"/>
  <c r="H16"/>
  <c r="H16" i="8869"/>
  <c r="E60" i="4348"/>
  <c r="F60"/>
  <c r="F61"/>
  <c r="F62"/>
  <c r="F10" i="1911"/>
  <c r="E63" i="4348"/>
  <c r="F63"/>
  <c r="F64"/>
  <c r="E10" i="1911"/>
  <c r="E65" i="4348"/>
  <c r="F65"/>
  <c r="F66"/>
  <c r="G10" i="1911"/>
  <c r="H28" i="8830"/>
  <c r="I8" i="8812"/>
  <c r="H29" i="8830"/>
  <c r="I9" i="8812"/>
  <c r="H30" i="8830"/>
  <c r="I10" i="8812"/>
  <c r="H31" i="8830"/>
  <c r="I11" i="8812"/>
  <c r="I14"/>
  <c r="F27" i="4348"/>
  <c r="F28"/>
  <c r="F29"/>
  <c r="F6" i="1911"/>
  <c r="F30" i="4348"/>
  <c r="F31"/>
  <c r="F32"/>
  <c r="F33"/>
  <c r="E6" i="1911"/>
  <c r="E34" i="4348"/>
  <c r="F34"/>
  <c r="F35"/>
  <c r="G6" i="1911"/>
  <c r="H35" i="8830"/>
  <c r="H36"/>
  <c r="H38"/>
  <c r="H39"/>
  <c r="H42"/>
  <c r="I28"/>
  <c r="I29"/>
  <c r="I30"/>
  <c r="I31"/>
  <c r="I35"/>
  <c r="I36"/>
  <c r="I38"/>
  <c r="I39"/>
  <c r="I42"/>
  <c r="J28"/>
  <c r="J29"/>
  <c r="J30"/>
  <c r="J31"/>
  <c r="J35"/>
  <c r="J36"/>
  <c r="J38"/>
  <c r="J39"/>
  <c r="J42"/>
  <c r="C6" i="8880"/>
  <c r="F6"/>
  <c r="G6"/>
  <c r="H6"/>
  <c r="I6"/>
  <c r="J6"/>
  <c r="K6"/>
  <c r="E6"/>
  <c r="C7"/>
  <c r="H7"/>
  <c r="I7"/>
  <c r="E7"/>
  <c r="K7" i="8830"/>
  <c r="C8" i="8880"/>
  <c r="H8"/>
  <c r="I8"/>
  <c r="E8"/>
  <c r="C9"/>
  <c r="J9"/>
  <c r="K9"/>
  <c r="E9"/>
  <c r="G10"/>
  <c r="I10"/>
  <c r="K10"/>
  <c r="E10"/>
  <c r="C12"/>
  <c r="F12"/>
  <c r="G12"/>
  <c r="E12"/>
  <c r="C13"/>
  <c r="F13"/>
  <c r="G13"/>
  <c r="E13"/>
  <c r="C14"/>
  <c r="H14"/>
  <c r="I14"/>
  <c r="E14"/>
  <c r="K13" i="8830"/>
  <c r="C15" i="8880"/>
  <c r="H15"/>
  <c r="I15"/>
  <c r="E15"/>
  <c r="G16"/>
  <c r="I16"/>
  <c r="E16"/>
  <c r="C18"/>
  <c r="F18"/>
  <c r="G18"/>
  <c r="E18"/>
  <c r="K23" i="8830"/>
  <c r="C19" i="8880"/>
  <c r="F19"/>
  <c r="G19"/>
  <c r="E19"/>
  <c r="C20"/>
  <c r="H20"/>
  <c r="I20"/>
  <c r="E20"/>
  <c r="C21"/>
  <c r="H21"/>
  <c r="I21"/>
  <c r="E21"/>
  <c r="K26" i="8830"/>
  <c r="C22" i="8880"/>
  <c r="H22"/>
  <c r="I22"/>
  <c r="E22"/>
  <c r="E23"/>
  <c r="G23"/>
  <c r="I23"/>
  <c r="K28" i="8830"/>
  <c r="C25" i="8880"/>
  <c r="F25"/>
  <c r="G25"/>
  <c r="E25"/>
  <c r="K29" i="8830"/>
  <c r="C26" i="8880"/>
  <c r="F26"/>
  <c r="G26"/>
  <c r="E26"/>
  <c r="K30" i="8830"/>
  <c r="C27" i="8880"/>
  <c r="F27"/>
  <c r="G27"/>
  <c r="E27"/>
  <c r="K31" i="8830"/>
  <c r="C28" i="8880"/>
  <c r="F28"/>
  <c r="G28"/>
  <c r="E28"/>
  <c r="C29"/>
  <c r="F29"/>
  <c r="G29"/>
  <c r="E29"/>
  <c r="C30"/>
  <c r="F30"/>
  <c r="G30"/>
  <c r="E30"/>
  <c r="C31"/>
  <c r="F31"/>
  <c r="G31"/>
  <c r="H31"/>
  <c r="I31"/>
  <c r="J31"/>
  <c r="K31"/>
  <c r="E31"/>
  <c r="K35" i="8830"/>
  <c r="C32" i="8880"/>
  <c r="F32"/>
  <c r="G32"/>
  <c r="H32"/>
  <c r="I32"/>
  <c r="J32"/>
  <c r="K32"/>
  <c r="E32"/>
  <c r="K36" i="8830"/>
  <c r="C33" i="8880"/>
  <c r="F33"/>
  <c r="G33"/>
  <c r="H33"/>
  <c r="I33"/>
  <c r="J33"/>
  <c r="K33"/>
  <c r="E33"/>
  <c r="C34"/>
  <c r="F34"/>
  <c r="G34"/>
  <c r="H34"/>
  <c r="I34"/>
  <c r="J34"/>
  <c r="K34"/>
  <c r="E34"/>
  <c r="K38" i="8830"/>
  <c r="C35" i="8880"/>
  <c r="F35"/>
  <c r="G35"/>
  <c r="H35"/>
  <c r="I35"/>
  <c r="J35"/>
  <c r="K35"/>
  <c r="E35"/>
  <c r="K39" i="8830"/>
  <c r="C36" i="8880"/>
  <c r="F36"/>
  <c r="G36"/>
  <c r="H36"/>
  <c r="I36"/>
  <c r="J36"/>
  <c r="K36"/>
  <c r="E36"/>
  <c r="C37"/>
  <c r="H37"/>
  <c r="I37"/>
  <c r="E37"/>
  <c r="C38"/>
  <c r="H38"/>
  <c r="I38"/>
  <c r="E38"/>
  <c r="K42" i="8830"/>
  <c r="C39" i="8880"/>
  <c r="H39"/>
  <c r="I39"/>
  <c r="E39"/>
  <c r="C40"/>
  <c r="H40"/>
  <c r="I40"/>
  <c r="E40"/>
  <c r="C41"/>
  <c r="J41"/>
  <c r="K41"/>
  <c r="E41"/>
  <c r="G42"/>
  <c r="I42"/>
  <c r="K42"/>
  <c r="E42"/>
  <c r="E45"/>
  <c r="G45"/>
  <c r="I45"/>
  <c r="K45"/>
  <c r="C6" i="8879"/>
  <c r="F6"/>
  <c r="G6"/>
  <c r="H6"/>
  <c r="I6"/>
  <c r="J6"/>
  <c r="K6"/>
  <c r="E6"/>
  <c r="C7"/>
  <c r="H7"/>
  <c r="I7"/>
  <c r="E7"/>
  <c r="C8"/>
  <c r="H8"/>
  <c r="I8"/>
  <c r="E8"/>
  <c r="C9"/>
  <c r="J9"/>
  <c r="K9"/>
  <c r="E9"/>
  <c r="G10"/>
  <c r="I10"/>
  <c r="K10"/>
  <c r="E10"/>
  <c r="C12"/>
  <c r="F12"/>
  <c r="G12"/>
  <c r="E12"/>
  <c r="C13"/>
  <c r="F13"/>
  <c r="G13"/>
  <c r="E13"/>
  <c r="C14"/>
  <c r="H14"/>
  <c r="I14"/>
  <c r="E14"/>
  <c r="C15"/>
  <c r="H15"/>
  <c r="I15"/>
  <c r="E15"/>
  <c r="G16"/>
  <c r="I16"/>
  <c r="E16"/>
  <c r="C18"/>
  <c r="F18"/>
  <c r="G18"/>
  <c r="E18"/>
  <c r="C19"/>
  <c r="F19"/>
  <c r="G19"/>
  <c r="E19"/>
  <c r="C20"/>
  <c r="H20"/>
  <c r="I20"/>
  <c r="E20"/>
  <c r="C21"/>
  <c r="H21"/>
  <c r="I21"/>
  <c r="E21"/>
  <c r="C22"/>
  <c r="H22"/>
  <c r="I22"/>
  <c r="E22"/>
  <c r="E23"/>
  <c r="G23"/>
  <c r="I23"/>
  <c r="C25"/>
  <c r="F25"/>
  <c r="G25"/>
  <c r="E25"/>
  <c r="C26"/>
  <c r="F26"/>
  <c r="G26"/>
  <c r="E26"/>
  <c r="C27"/>
  <c r="F27"/>
  <c r="G27"/>
  <c r="E27"/>
  <c r="C28"/>
  <c r="F28"/>
  <c r="G28"/>
  <c r="E28"/>
  <c r="C29"/>
  <c r="F29"/>
  <c r="G29"/>
  <c r="E29"/>
  <c r="C30"/>
  <c r="F30"/>
  <c r="G30"/>
  <c r="E30"/>
  <c r="C31"/>
  <c r="F31"/>
  <c r="G31"/>
  <c r="H31"/>
  <c r="I31"/>
  <c r="J31"/>
  <c r="K31"/>
  <c r="E31"/>
  <c r="C32"/>
  <c r="F32"/>
  <c r="G32"/>
  <c r="H32"/>
  <c r="I32"/>
  <c r="J32"/>
  <c r="K32"/>
  <c r="E32"/>
  <c r="C33"/>
  <c r="F33"/>
  <c r="G33"/>
  <c r="H33"/>
  <c r="I33"/>
  <c r="J33"/>
  <c r="K33"/>
  <c r="E33"/>
  <c r="C34"/>
  <c r="F34"/>
  <c r="G34"/>
  <c r="H34"/>
  <c r="I34"/>
  <c r="J34"/>
  <c r="K34"/>
  <c r="E34"/>
  <c r="C35"/>
  <c r="F35"/>
  <c r="G35"/>
  <c r="H35"/>
  <c r="I35"/>
  <c r="J35"/>
  <c r="K35"/>
  <c r="E35"/>
  <c r="C36"/>
  <c r="F36"/>
  <c r="G36"/>
  <c r="H36"/>
  <c r="I36"/>
  <c r="J36"/>
  <c r="K36"/>
  <c r="E36"/>
  <c r="C37"/>
  <c r="H37"/>
  <c r="I37"/>
  <c r="E37"/>
  <c r="C38"/>
  <c r="H38"/>
  <c r="I38"/>
  <c r="E38"/>
  <c r="C39"/>
  <c r="H39"/>
  <c r="I39"/>
  <c r="E39"/>
  <c r="C40"/>
  <c r="H40"/>
  <c r="I40"/>
  <c r="E40"/>
  <c r="C41"/>
  <c r="J41"/>
  <c r="K41"/>
  <c r="E41"/>
  <c r="G42"/>
  <c r="I42"/>
  <c r="K42"/>
  <c r="E42"/>
  <c r="E45"/>
  <c r="G45"/>
  <c r="I45"/>
  <c r="K45"/>
  <c r="C6" i="8878"/>
  <c r="F6"/>
  <c r="G6"/>
  <c r="H6"/>
  <c r="I6"/>
  <c r="J6"/>
  <c r="K6"/>
  <c r="E6"/>
  <c r="C7"/>
  <c r="H7"/>
  <c r="I7"/>
  <c r="E7"/>
  <c r="C8"/>
  <c r="H8"/>
  <c r="I8"/>
  <c r="E8"/>
  <c r="C9"/>
  <c r="J9"/>
  <c r="K9"/>
  <c r="E9"/>
  <c r="G10"/>
  <c r="I10"/>
  <c r="K10"/>
  <c r="E10"/>
  <c r="C12"/>
  <c r="F12"/>
  <c r="G12"/>
  <c r="E12"/>
  <c r="C13"/>
  <c r="F13"/>
  <c r="G13"/>
  <c r="E13"/>
  <c r="C14"/>
  <c r="H14"/>
  <c r="I14"/>
  <c r="E14"/>
  <c r="C15"/>
  <c r="H15"/>
  <c r="I15"/>
  <c r="E15"/>
  <c r="G16"/>
  <c r="I16"/>
  <c r="E16"/>
  <c r="C18"/>
  <c r="F18"/>
  <c r="G18"/>
  <c r="E18"/>
  <c r="C19"/>
  <c r="F19"/>
  <c r="G19"/>
  <c r="E19"/>
  <c r="C20"/>
  <c r="H20"/>
  <c r="I20"/>
  <c r="E20"/>
  <c r="C21"/>
  <c r="H21"/>
  <c r="I21"/>
  <c r="E21"/>
  <c r="C22"/>
  <c r="H22"/>
  <c r="I22"/>
  <c r="E22"/>
  <c r="E23"/>
  <c r="G23"/>
  <c r="I23"/>
  <c r="C25"/>
  <c r="F25"/>
  <c r="G25"/>
  <c r="E25"/>
  <c r="C26"/>
  <c r="F26"/>
  <c r="G26"/>
  <c r="E26"/>
  <c r="C27"/>
  <c r="F27"/>
  <c r="G27"/>
  <c r="E27"/>
  <c r="C28"/>
  <c r="F28"/>
  <c r="G28"/>
  <c r="E28"/>
  <c r="C29"/>
  <c r="F29"/>
  <c r="G29"/>
  <c r="E29"/>
  <c r="C30"/>
  <c r="F30"/>
  <c r="G30"/>
  <c r="E30"/>
  <c r="C31"/>
  <c r="F31"/>
  <c r="G31"/>
  <c r="H31"/>
  <c r="I31"/>
  <c r="J31"/>
  <c r="K31"/>
  <c r="E31"/>
  <c r="C32"/>
  <c r="F32"/>
  <c r="G32"/>
  <c r="H32"/>
  <c r="I32"/>
  <c r="J32"/>
  <c r="K32"/>
  <c r="E32"/>
  <c r="C33"/>
  <c r="F33"/>
  <c r="G33"/>
  <c r="H33"/>
  <c r="I33"/>
  <c r="J33"/>
  <c r="K33"/>
  <c r="E33"/>
  <c r="C34"/>
  <c r="F34"/>
  <c r="G34"/>
  <c r="H34"/>
  <c r="I34"/>
  <c r="J34"/>
  <c r="K34"/>
  <c r="E34"/>
  <c r="C35"/>
  <c r="F35"/>
  <c r="G35"/>
  <c r="H35"/>
  <c r="I35"/>
  <c r="J35"/>
  <c r="K35"/>
  <c r="E35"/>
  <c r="C36"/>
  <c r="F36"/>
  <c r="G36"/>
  <c r="H36"/>
  <c r="I36"/>
  <c r="J36"/>
  <c r="K36"/>
  <c r="E36"/>
  <c r="C37"/>
  <c r="H37"/>
  <c r="I37"/>
  <c r="E37"/>
  <c r="C38"/>
  <c r="H38"/>
  <c r="I38"/>
  <c r="E38"/>
  <c r="C39"/>
  <c r="H39"/>
  <c r="I39"/>
  <c r="E39"/>
  <c r="C40"/>
  <c r="H40"/>
  <c r="I40"/>
  <c r="E40"/>
  <c r="C41"/>
  <c r="J41"/>
  <c r="K41"/>
  <c r="E41"/>
  <c r="G42"/>
  <c r="I42"/>
  <c r="K42"/>
  <c r="E42"/>
  <c r="E45"/>
  <c r="G45"/>
  <c r="I45"/>
  <c r="K45"/>
  <c r="C6" i="8877"/>
  <c r="I18" i="8812"/>
  <c r="F6" i="8877"/>
  <c r="G6"/>
  <c r="E6"/>
  <c r="C7"/>
  <c r="F7"/>
  <c r="G7"/>
  <c r="E7"/>
  <c r="C8"/>
  <c r="H8"/>
  <c r="I8"/>
  <c r="E8"/>
  <c r="C9"/>
  <c r="H9"/>
  <c r="I9"/>
  <c r="E9"/>
  <c r="C10"/>
  <c r="H10"/>
  <c r="I10"/>
  <c r="E10"/>
  <c r="E11"/>
  <c r="G11"/>
  <c r="I11"/>
  <c r="C14"/>
  <c r="F14"/>
  <c r="G14"/>
  <c r="E14"/>
  <c r="C15"/>
  <c r="F15"/>
  <c r="G15"/>
  <c r="E15"/>
  <c r="C16"/>
  <c r="F16"/>
  <c r="G16"/>
  <c r="E16"/>
  <c r="C17"/>
  <c r="F17"/>
  <c r="G17"/>
  <c r="E17"/>
  <c r="C18"/>
  <c r="F18"/>
  <c r="G18"/>
  <c r="E18"/>
  <c r="C19"/>
  <c r="F19"/>
  <c r="G19"/>
  <c r="E19"/>
  <c r="C20"/>
  <c r="F20"/>
  <c r="G20"/>
  <c r="H20"/>
  <c r="I20"/>
  <c r="J20"/>
  <c r="K20"/>
  <c r="E20"/>
  <c r="C21"/>
  <c r="F21"/>
  <c r="G21"/>
  <c r="H21"/>
  <c r="I21"/>
  <c r="J21"/>
  <c r="K21"/>
  <c r="E21"/>
  <c r="C22"/>
  <c r="F22"/>
  <c r="G22"/>
  <c r="H22"/>
  <c r="I22"/>
  <c r="J22"/>
  <c r="K22"/>
  <c r="E22"/>
  <c r="C23"/>
  <c r="F23"/>
  <c r="G23"/>
  <c r="H23"/>
  <c r="I23"/>
  <c r="J23"/>
  <c r="K23"/>
  <c r="E23"/>
  <c r="C24"/>
  <c r="F24"/>
  <c r="G24"/>
  <c r="H24"/>
  <c r="I24"/>
  <c r="J24"/>
  <c r="K24"/>
  <c r="E24"/>
  <c r="C25"/>
  <c r="F25"/>
  <c r="G25"/>
  <c r="H25"/>
  <c r="I25"/>
  <c r="J25"/>
  <c r="K25"/>
  <c r="E25"/>
  <c r="C26"/>
  <c r="H26"/>
  <c r="I26"/>
  <c r="E26"/>
  <c r="C27"/>
  <c r="H27"/>
  <c r="I27"/>
  <c r="E27"/>
  <c r="C28"/>
  <c r="H28"/>
  <c r="I28"/>
  <c r="E28"/>
  <c r="C29"/>
  <c r="H29"/>
  <c r="I29"/>
  <c r="E29"/>
  <c r="C30"/>
  <c r="J30"/>
  <c r="K30"/>
  <c r="E30"/>
  <c r="G33"/>
  <c r="I33"/>
  <c r="K33"/>
  <c r="E33"/>
  <c r="E35"/>
  <c r="G35"/>
  <c r="I35"/>
  <c r="K35"/>
  <c r="C6" i="8876"/>
  <c r="F6"/>
  <c r="G6"/>
  <c r="E6"/>
  <c r="C7"/>
  <c r="F7"/>
  <c r="G7"/>
  <c r="E7"/>
  <c r="C8"/>
  <c r="H8"/>
  <c r="I8"/>
  <c r="E8"/>
  <c r="C9"/>
  <c r="H9"/>
  <c r="I9"/>
  <c r="E9"/>
  <c r="C10"/>
  <c r="H10"/>
  <c r="I10"/>
  <c r="E10"/>
  <c r="E11"/>
  <c r="G11"/>
  <c r="I11"/>
  <c r="C14"/>
  <c r="F14"/>
  <c r="G14"/>
  <c r="E14"/>
  <c r="C15"/>
  <c r="F15"/>
  <c r="G15"/>
  <c r="E15"/>
  <c r="C16"/>
  <c r="F16"/>
  <c r="G16"/>
  <c r="E16"/>
  <c r="C17"/>
  <c r="F17"/>
  <c r="G17"/>
  <c r="E17"/>
  <c r="C18"/>
  <c r="F18"/>
  <c r="G18"/>
  <c r="E18"/>
  <c r="C19"/>
  <c r="F19"/>
  <c r="G19"/>
  <c r="E19"/>
  <c r="C20"/>
  <c r="F20"/>
  <c r="G20"/>
  <c r="H20"/>
  <c r="I20"/>
  <c r="J20"/>
  <c r="K20"/>
  <c r="E20"/>
  <c r="C21"/>
  <c r="F21"/>
  <c r="G21"/>
  <c r="H21"/>
  <c r="I21"/>
  <c r="J21"/>
  <c r="K21"/>
  <c r="E21"/>
  <c r="C22"/>
  <c r="F22"/>
  <c r="G22"/>
  <c r="H22"/>
  <c r="I22"/>
  <c r="J22"/>
  <c r="K22"/>
  <c r="E22"/>
  <c r="C23"/>
  <c r="F23"/>
  <c r="G23"/>
  <c r="H23"/>
  <c r="I23"/>
  <c r="J23"/>
  <c r="K23"/>
  <c r="E23"/>
  <c r="C24"/>
  <c r="F24"/>
  <c r="G24"/>
  <c r="H24"/>
  <c r="I24"/>
  <c r="J24"/>
  <c r="K24"/>
  <c r="E24"/>
  <c r="C25"/>
  <c r="F25"/>
  <c r="G25"/>
  <c r="H25"/>
  <c r="I25"/>
  <c r="J25"/>
  <c r="K25"/>
  <c r="E25"/>
  <c r="C26"/>
  <c r="H26"/>
  <c r="I26"/>
  <c r="E26"/>
  <c r="C27"/>
  <c r="H27"/>
  <c r="I27"/>
  <c r="E27"/>
  <c r="C28"/>
  <c r="H28"/>
  <c r="I28"/>
  <c r="E28"/>
  <c r="C29"/>
  <c r="H29"/>
  <c r="I29"/>
  <c r="E29"/>
  <c r="C30"/>
  <c r="J30"/>
  <c r="K30"/>
  <c r="E30"/>
  <c r="G33"/>
  <c r="I33"/>
  <c r="K33"/>
  <c r="E33"/>
  <c r="E35"/>
  <c r="G35"/>
  <c r="I35"/>
  <c r="K35"/>
  <c r="C6" i="8874"/>
  <c r="F6"/>
  <c r="G6"/>
  <c r="E6"/>
  <c r="C7"/>
  <c r="F7"/>
  <c r="G7"/>
  <c r="E7"/>
  <c r="C8"/>
  <c r="H8"/>
  <c r="I8"/>
  <c r="E8"/>
  <c r="C9"/>
  <c r="H9"/>
  <c r="I9"/>
  <c r="E9"/>
  <c r="C10"/>
  <c r="H10"/>
  <c r="I10"/>
  <c r="E10"/>
  <c r="E11"/>
  <c r="G11"/>
  <c r="I11"/>
  <c r="C14"/>
  <c r="F14"/>
  <c r="G14"/>
  <c r="E14"/>
  <c r="C15"/>
  <c r="F15"/>
  <c r="G15"/>
  <c r="E15"/>
  <c r="C16"/>
  <c r="F16"/>
  <c r="G16"/>
  <c r="E16"/>
  <c r="C17"/>
  <c r="F17"/>
  <c r="G17"/>
  <c r="E17"/>
  <c r="C18"/>
  <c r="F18"/>
  <c r="G18"/>
  <c r="E18"/>
  <c r="C19"/>
  <c r="F19"/>
  <c r="G19"/>
  <c r="E19"/>
  <c r="C20"/>
  <c r="F20"/>
  <c r="G20"/>
  <c r="H20"/>
  <c r="I20"/>
  <c r="J20"/>
  <c r="K20"/>
  <c r="E20"/>
  <c r="G35" i="8830"/>
  <c r="C21" i="8874"/>
  <c r="F21"/>
  <c r="G21"/>
  <c r="H21"/>
  <c r="I21"/>
  <c r="J21"/>
  <c r="K21"/>
  <c r="E21"/>
  <c r="G36" i="8830"/>
  <c r="C22" i="8874"/>
  <c r="F22"/>
  <c r="G22"/>
  <c r="H22"/>
  <c r="I22"/>
  <c r="J22"/>
  <c r="K22"/>
  <c r="E22"/>
  <c r="C23"/>
  <c r="F23"/>
  <c r="G23"/>
  <c r="H23"/>
  <c r="I23"/>
  <c r="J23"/>
  <c r="K23"/>
  <c r="E23"/>
  <c r="G38" i="8830"/>
  <c r="C24" i="8874"/>
  <c r="F24"/>
  <c r="G24"/>
  <c r="H24"/>
  <c r="I24"/>
  <c r="J24"/>
  <c r="K24"/>
  <c r="E24"/>
  <c r="G39" i="8830"/>
  <c r="C25" i="8874"/>
  <c r="F25"/>
  <c r="G25"/>
  <c r="H25"/>
  <c r="I25"/>
  <c r="J25"/>
  <c r="K25"/>
  <c r="E25"/>
  <c r="C26"/>
  <c r="H26"/>
  <c r="I26"/>
  <c r="E26"/>
  <c r="C27"/>
  <c r="H27"/>
  <c r="I27"/>
  <c r="E27"/>
  <c r="G42" i="8830"/>
  <c r="C28" i="8874"/>
  <c r="H28"/>
  <c r="I28"/>
  <c r="E28"/>
  <c r="C29"/>
  <c r="H29"/>
  <c r="I29"/>
  <c r="E29"/>
  <c r="C30"/>
  <c r="J30"/>
  <c r="K30"/>
  <c r="E30"/>
  <c r="G33"/>
  <c r="I33"/>
  <c r="K33"/>
  <c r="E33"/>
  <c r="E35"/>
  <c r="G35"/>
  <c r="I35"/>
  <c r="K35"/>
  <c r="C6" i="8875"/>
  <c r="F6"/>
  <c r="G6"/>
  <c r="H6"/>
  <c r="I6"/>
  <c r="J6"/>
  <c r="K6"/>
  <c r="E6"/>
  <c r="C7"/>
  <c r="H7"/>
  <c r="I7"/>
  <c r="E7"/>
  <c r="C8"/>
  <c r="H8"/>
  <c r="I8"/>
  <c r="E8"/>
  <c r="C9"/>
  <c r="J9"/>
  <c r="K9"/>
  <c r="E9"/>
  <c r="G10"/>
  <c r="I10"/>
  <c r="K10"/>
  <c r="E10"/>
  <c r="C12"/>
  <c r="F12"/>
  <c r="G12"/>
  <c r="E12"/>
  <c r="C13"/>
  <c r="F13"/>
  <c r="G13"/>
  <c r="E13"/>
  <c r="C14"/>
  <c r="H14"/>
  <c r="I14"/>
  <c r="E14"/>
  <c r="C15"/>
  <c r="H15"/>
  <c r="I15"/>
  <c r="E15"/>
  <c r="G16"/>
  <c r="I16"/>
  <c r="E16"/>
  <c r="C18"/>
  <c r="H18"/>
  <c r="I18"/>
  <c r="E18"/>
  <c r="C19"/>
  <c r="F19"/>
  <c r="G19"/>
  <c r="E19"/>
  <c r="C20"/>
  <c r="F20"/>
  <c r="G20"/>
  <c r="E20"/>
  <c r="C21"/>
  <c r="H21"/>
  <c r="I21"/>
  <c r="E21"/>
  <c r="C22"/>
  <c r="H22"/>
  <c r="I22"/>
  <c r="E22"/>
  <c r="C23"/>
  <c r="H23"/>
  <c r="I23"/>
  <c r="E23"/>
  <c r="E24"/>
  <c r="G24"/>
  <c r="I24"/>
  <c r="C26"/>
  <c r="F26"/>
  <c r="G26"/>
  <c r="E26"/>
  <c r="C27"/>
  <c r="F27"/>
  <c r="G27"/>
  <c r="E27"/>
  <c r="C28"/>
  <c r="F28"/>
  <c r="G28"/>
  <c r="E28"/>
  <c r="C29"/>
  <c r="F29"/>
  <c r="G29"/>
  <c r="E29"/>
  <c r="C30"/>
  <c r="F30"/>
  <c r="G30"/>
  <c r="E30"/>
  <c r="C31"/>
  <c r="F31"/>
  <c r="G31"/>
  <c r="E31"/>
  <c r="C32"/>
  <c r="F32"/>
  <c r="G32"/>
  <c r="H32"/>
  <c r="I32"/>
  <c r="J32"/>
  <c r="K32"/>
  <c r="E32"/>
  <c r="C33"/>
  <c r="F33"/>
  <c r="G33"/>
  <c r="H33"/>
  <c r="I33"/>
  <c r="J33"/>
  <c r="K33"/>
  <c r="E33"/>
  <c r="C34"/>
  <c r="F34"/>
  <c r="G34"/>
  <c r="H34"/>
  <c r="I34"/>
  <c r="J34"/>
  <c r="K34"/>
  <c r="E34"/>
  <c r="C35"/>
  <c r="F35"/>
  <c r="G35"/>
  <c r="H35"/>
  <c r="I35"/>
  <c r="J35"/>
  <c r="K35"/>
  <c r="E35"/>
  <c r="C36"/>
  <c r="F36"/>
  <c r="G36"/>
  <c r="H36"/>
  <c r="I36"/>
  <c r="J36"/>
  <c r="K36"/>
  <c r="E36"/>
  <c r="C37"/>
  <c r="F37"/>
  <c r="G37"/>
  <c r="H37"/>
  <c r="I37"/>
  <c r="J37"/>
  <c r="K37"/>
  <c r="E37"/>
  <c r="C38"/>
  <c r="H38"/>
  <c r="I38"/>
  <c r="E38"/>
  <c r="C39"/>
  <c r="H39"/>
  <c r="I39"/>
  <c r="E39"/>
  <c r="C40"/>
  <c r="H40"/>
  <c r="I40"/>
  <c r="E40"/>
  <c r="C41"/>
  <c r="H41"/>
  <c r="I41"/>
  <c r="E41"/>
  <c r="C42"/>
  <c r="J42"/>
  <c r="K42"/>
  <c r="E42"/>
  <c r="G43"/>
  <c r="I43"/>
  <c r="K43"/>
  <c r="E43"/>
  <c r="E46"/>
  <c r="G46"/>
  <c r="I46"/>
  <c r="K46"/>
  <c r="C5" i="8873"/>
  <c r="F5"/>
  <c r="G5"/>
  <c r="C6"/>
  <c r="F6"/>
  <c r="G6"/>
  <c r="C7"/>
  <c r="F7"/>
  <c r="G7"/>
  <c r="C8"/>
  <c r="F8"/>
  <c r="G8"/>
  <c r="C9"/>
  <c r="F9"/>
  <c r="G9"/>
  <c r="C10"/>
  <c r="F10"/>
  <c r="G10"/>
  <c r="C11"/>
  <c r="F11"/>
  <c r="G11"/>
  <c r="F35" i="8830"/>
  <c r="C12" i="8873"/>
  <c r="F12"/>
  <c r="G12"/>
  <c r="F36" i="8830"/>
  <c r="C13" i="8873"/>
  <c r="F13"/>
  <c r="G13"/>
  <c r="C14"/>
  <c r="F14"/>
  <c r="G14"/>
  <c r="F38" i="8830"/>
  <c r="C15" i="8873"/>
  <c r="F15"/>
  <c r="G15"/>
  <c r="F39" i="8830"/>
  <c r="C16" i="8873"/>
  <c r="F16"/>
  <c r="G16"/>
  <c r="G23"/>
  <c r="H11"/>
  <c r="I11"/>
  <c r="H12"/>
  <c r="I12"/>
  <c r="H13"/>
  <c r="I13"/>
  <c r="H14"/>
  <c r="I14"/>
  <c r="H15"/>
  <c r="I15"/>
  <c r="H16"/>
  <c r="I16"/>
  <c r="C17"/>
  <c r="H17"/>
  <c r="I17"/>
  <c r="C18"/>
  <c r="H18"/>
  <c r="I18"/>
  <c r="F42" i="8830"/>
  <c r="C19" i="8873"/>
  <c r="H19"/>
  <c r="I19"/>
  <c r="C20"/>
  <c r="H20"/>
  <c r="I20"/>
  <c r="I23"/>
  <c r="J11"/>
  <c r="K11"/>
  <c r="J12"/>
  <c r="K12"/>
  <c r="J13"/>
  <c r="K13"/>
  <c r="J14"/>
  <c r="K14"/>
  <c r="J15"/>
  <c r="K15"/>
  <c r="J16"/>
  <c r="K16"/>
  <c r="C21"/>
  <c r="J21"/>
  <c r="K21"/>
  <c r="K23"/>
  <c r="E23"/>
  <c r="E30"/>
  <c r="E5"/>
  <c r="E6"/>
  <c r="E7"/>
  <c r="E8"/>
  <c r="E9"/>
  <c r="E10"/>
  <c r="E11"/>
  <c r="E12"/>
  <c r="E13"/>
  <c r="E14"/>
  <c r="E15"/>
  <c r="E16"/>
  <c r="E17"/>
  <c r="E18"/>
  <c r="E19"/>
  <c r="E20"/>
  <c r="E21"/>
  <c r="G30"/>
  <c r="I30"/>
  <c r="K30"/>
  <c r="C5" i="8872"/>
  <c r="F5"/>
  <c r="G5"/>
  <c r="C6"/>
  <c r="F6"/>
  <c r="G6"/>
  <c r="C7"/>
  <c r="F7"/>
  <c r="G7"/>
  <c r="C8"/>
  <c r="F8"/>
  <c r="G8"/>
  <c r="C9"/>
  <c r="F9"/>
  <c r="G9"/>
  <c r="C10"/>
  <c r="F10"/>
  <c r="G10"/>
  <c r="C11"/>
  <c r="F11"/>
  <c r="G11"/>
  <c r="D35" i="8830"/>
  <c r="C12" i="8872"/>
  <c r="F12"/>
  <c r="G12"/>
  <c r="D36" i="8830"/>
  <c r="C13" i="8872"/>
  <c r="F13"/>
  <c r="G13"/>
  <c r="C14"/>
  <c r="F14"/>
  <c r="G14"/>
  <c r="D38" i="8830"/>
  <c r="C15" i="8872"/>
  <c r="F15"/>
  <c r="G15"/>
  <c r="D39" i="8830"/>
  <c r="C16" i="8872"/>
  <c r="F16"/>
  <c r="G16"/>
  <c r="G23"/>
  <c r="H11"/>
  <c r="I11"/>
  <c r="H12"/>
  <c r="I12"/>
  <c r="H13"/>
  <c r="I13"/>
  <c r="H14"/>
  <c r="I14"/>
  <c r="H15"/>
  <c r="I15"/>
  <c r="H16"/>
  <c r="I16"/>
  <c r="C17"/>
  <c r="H17"/>
  <c r="I17"/>
  <c r="C18"/>
  <c r="H18"/>
  <c r="I18"/>
  <c r="D42" i="8830"/>
  <c r="C19" i="8872"/>
  <c r="H19"/>
  <c r="I19"/>
  <c r="C20"/>
  <c r="H20"/>
  <c r="I20"/>
  <c r="I23"/>
  <c r="J11"/>
  <c r="K11"/>
  <c r="J12"/>
  <c r="K12"/>
  <c r="J13"/>
  <c r="K13"/>
  <c r="J14"/>
  <c r="K14"/>
  <c r="J15"/>
  <c r="K15"/>
  <c r="J16"/>
  <c r="K16"/>
  <c r="C21"/>
  <c r="J21"/>
  <c r="K21"/>
  <c r="K23"/>
  <c r="E23"/>
  <c r="E29"/>
  <c r="E5"/>
  <c r="E6"/>
  <c r="E7"/>
  <c r="E8"/>
  <c r="E9"/>
  <c r="E10"/>
  <c r="E11"/>
  <c r="E12"/>
  <c r="E13"/>
  <c r="E14"/>
  <c r="E15"/>
  <c r="E16"/>
  <c r="E17"/>
  <c r="E18"/>
  <c r="E19"/>
  <c r="E20"/>
  <c r="E21"/>
  <c r="G29"/>
  <c r="I29"/>
  <c r="K29"/>
  <c r="H6" i="8870"/>
  <c r="H7"/>
  <c r="H8"/>
  <c r="H9"/>
  <c r="H14"/>
  <c r="H15"/>
  <c r="H16"/>
  <c r="H15" i="8869"/>
  <c r="J9" i="8870"/>
  <c r="J11"/>
  <c r="J12"/>
  <c r="J14"/>
  <c r="J15"/>
  <c r="J16"/>
  <c r="J15" i="8869"/>
  <c r="L9" i="8870"/>
  <c r="L13"/>
  <c r="L14"/>
  <c r="L15"/>
  <c r="L16"/>
  <c r="L15" i="8869"/>
  <c r="F15"/>
  <c r="G15"/>
  <c r="I15"/>
  <c r="K15"/>
  <c r="M15"/>
  <c r="F16"/>
  <c r="G16"/>
  <c r="I16"/>
  <c r="K16"/>
  <c r="M16"/>
  <c r="H6" i="8871"/>
  <c r="H7"/>
  <c r="H8"/>
  <c r="H9"/>
  <c r="H14"/>
  <c r="H15"/>
  <c r="H16"/>
  <c r="H17" i="8869"/>
  <c r="J9" i="8871"/>
  <c r="J11"/>
  <c r="J12"/>
  <c r="J14"/>
  <c r="J15"/>
  <c r="J16"/>
  <c r="J17" i="8869"/>
  <c r="L9" i="8871"/>
  <c r="L13"/>
  <c r="L14"/>
  <c r="L15"/>
  <c r="L16"/>
  <c r="L17" i="8869"/>
  <c r="F17"/>
  <c r="G17"/>
  <c r="I17"/>
  <c r="K17"/>
  <c r="M17"/>
  <c r="E6" i="8870"/>
  <c r="F6"/>
  <c r="E7"/>
  <c r="F7"/>
  <c r="E8"/>
  <c r="F8"/>
  <c r="F9"/>
  <c r="E11"/>
  <c r="F11"/>
  <c r="E12"/>
  <c r="F12"/>
  <c r="E13"/>
  <c r="F13"/>
  <c r="F14"/>
  <c r="F15"/>
  <c r="F16"/>
  <c r="E6" i="8871"/>
  <c r="F6"/>
  <c r="E7"/>
  <c r="F7"/>
  <c r="E8"/>
  <c r="F8"/>
  <c r="F9"/>
  <c r="E11"/>
  <c r="F11"/>
  <c r="E12"/>
  <c r="F12"/>
  <c r="E13"/>
  <c r="F13"/>
  <c r="F14"/>
  <c r="F15"/>
  <c r="F16"/>
  <c r="E6" i="8868"/>
  <c r="F6"/>
  <c r="E7"/>
  <c r="F7"/>
  <c r="E8"/>
  <c r="F8"/>
  <c r="F9"/>
  <c r="E11"/>
  <c r="F11"/>
  <c r="E12"/>
  <c r="F12"/>
  <c r="E13"/>
  <c r="F13"/>
  <c r="F14"/>
  <c r="F15"/>
  <c r="F16"/>
  <c r="O41" i="8867"/>
  <c r="R41"/>
  <c r="U41"/>
  <c r="I49" i="8866"/>
  <c r="J50"/>
  <c r="O50"/>
  <c r="X50"/>
  <c r="J55"/>
  <c r="J59"/>
  <c r="J60"/>
  <c r="J61"/>
  <c r="J62"/>
  <c r="R62"/>
  <c r="X62"/>
  <c r="I65"/>
  <c r="J66"/>
  <c r="R66"/>
  <c r="X66"/>
  <c r="M70"/>
  <c r="J71"/>
  <c r="R71"/>
  <c r="X71"/>
  <c r="O83"/>
  <c r="R83"/>
  <c r="U83"/>
  <c r="X83"/>
  <c r="G89"/>
  <c r="J89"/>
  <c r="O89"/>
  <c r="X89"/>
  <c r="J94"/>
  <c r="J98"/>
  <c r="J99"/>
  <c r="J100"/>
  <c r="J101"/>
  <c r="R101"/>
  <c r="X101"/>
  <c r="I104"/>
  <c r="J105"/>
  <c r="R105"/>
  <c r="X105"/>
  <c r="J108"/>
  <c r="J109"/>
  <c r="R109"/>
  <c r="X109"/>
  <c r="M113"/>
  <c r="J114"/>
  <c r="R114"/>
  <c r="X114"/>
  <c r="O123"/>
  <c r="R123"/>
  <c r="U123"/>
  <c r="X123"/>
  <c r="M23"/>
  <c r="M24"/>
  <c r="O41" i="8865"/>
  <c r="R41"/>
  <c r="U41"/>
  <c r="E78" i="8841"/>
  <c r="I74"/>
  <c r="E269" i="4348"/>
  <c r="F269"/>
  <c r="F270"/>
  <c r="F271"/>
  <c r="F36" i="1911"/>
  <c r="E71" i="8848"/>
  <c r="E316" i="4348"/>
  <c r="F316"/>
  <c r="F317"/>
  <c r="F318"/>
  <c r="F42" i="1911"/>
  <c r="E71" i="8849"/>
  <c r="E332" i="4348"/>
  <c r="F332"/>
  <c r="F333"/>
  <c r="F334"/>
  <c r="B314"/>
  <c r="E321"/>
  <c r="F321"/>
  <c r="F322"/>
  <c r="G42" i="1911"/>
  <c r="I71" i="8849"/>
  <c r="F289" i="8858"/>
  <c r="G289"/>
  <c r="H289"/>
  <c r="I289"/>
  <c r="J289"/>
  <c r="K289"/>
  <c r="C271"/>
  <c r="C273"/>
  <c r="C274"/>
  <c r="C265"/>
  <c r="C266"/>
  <c r="C259"/>
  <c r="C267"/>
  <c r="C260"/>
  <c r="C262"/>
  <c r="F57"/>
  <c r="F99"/>
  <c r="F142"/>
  <c r="H57"/>
  <c r="H99"/>
  <c r="H142"/>
  <c r="J57"/>
  <c r="J99"/>
  <c r="J142"/>
  <c r="G57"/>
  <c r="I57"/>
  <c r="K57"/>
  <c r="E74" i="8850"/>
  <c r="H68"/>
  <c r="H69"/>
  <c r="H70"/>
  <c r="F71"/>
  <c r="F72"/>
  <c r="F73"/>
  <c r="H78"/>
  <c r="F78"/>
  <c r="C76" i="8825"/>
  <c r="C77"/>
  <c r="C78"/>
  <c r="C81"/>
  <c r="C84"/>
  <c r="C85"/>
  <c r="C87"/>
  <c r="C88"/>
  <c r="C65"/>
  <c r="C67"/>
  <c r="C68"/>
  <c r="C59"/>
  <c r="C60"/>
  <c r="C61"/>
  <c r="C53"/>
  <c r="C54"/>
  <c r="C56"/>
  <c r="C54" i="8834"/>
  <c r="C55"/>
  <c r="C56"/>
  <c r="C59"/>
  <c r="C62"/>
  <c r="C63"/>
  <c r="C65"/>
  <c r="C66"/>
  <c r="C42"/>
  <c r="C43"/>
  <c r="C44"/>
  <c r="C45"/>
  <c r="C46"/>
  <c r="C14"/>
  <c r="C15"/>
  <c r="C16"/>
  <c r="C17"/>
  <c r="C18"/>
  <c r="C19"/>
  <c r="C20"/>
  <c r="C23"/>
  <c r="C26"/>
  <c r="C27"/>
  <c r="C29"/>
  <c r="C30"/>
  <c r="C6"/>
  <c r="C7"/>
  <c r="C8"/>
  <c r="C9"/>
  <c r="C10"/>
  <c r="C72" i="8820"/>
  <c r="C73"/>
  <c r="C74"/>
  <c r="C75"/>
  <c r="C76"/>
  <c r="C77"/>
  <c r="C78"/>
  <c r="C81"/>
  <c r="C84"/>
  <c r="C85"/>
  <c r="C87"/>
  <c r="C88"/>
  <c r="C43"/>
  <c r="C44"/>
  <c r="C45"/>
  <c r="C46"/>
  <c r="C47"/>
  <c r="C48"/>
  <c r="C49"/>
  <c r="C52"/>
  <c r="C55"/>
  <c r="C56"/>
  <c r="C58"/>
  <c r="C59"/>
  <c r="H25" i="8812"/>
  <c r="D25"/>
  <c r="D27"/>
  <c r="C117" i="8841"/>
  <c r="C72"/>
  <c r="F447" i="4348"/>
  <c r="F448"/>
  <c r="E444"/>
  <c r="F444"/>
  <c r="F428"/>
  <c r="F429"/>
  <c r="F430"/>
  <c r="I78" i="8841"/>
  <c r="I68" i="8812"/>
  <c r="I67"/>
  <c r="E73" i="8841"/>
  <c r="E71"/>
  <c r="G62" i="1911"/>
  <c r="D62"/>
  <c r="I153" i="8850"/>
  <c r="F380" i="4348"/>
  <c r="F381"/>
  <c r="F382"/>
  <c r="I74" i="8850"/>
  <c r="E143"/>
  <c r="F143"/>
  <c r="E145"/>
  <c r="F145"/>
  <c r="E144"/>
  <c r="F144"/>
  <c r="F53" i="8858"/>
  <c r="F281"/>
  <c r="G281"/>
  <c r="D48" i="1911"/>
  <c r="G85" i="8849"/>
  <c r="G98"/>
  <c r="F348" i="4348"/>
  <c r="F349"/>
  <c r="F350"/>
  <c r="F351"/>
  <c r="F352"/>
  <c r="E353"/>
  <c r="F353"/>
  <c r="F354"/>
  <c r="G46" i="1911"/>
  <c r="I74" i="8849"/>
  <c r="I87"/>
  <c r="E335" i="4348"/>
  <c r="F335"/>
  <c r="F336"/>
  <c r="E44" i="1911"/>
  <c r="E337" i="4348"/>
  <c r="F337"/>
  <c r="F338"/>
  <c r="G44" i="1911"/>
  <c r="I72" i="8849"/>
  <c r="I85"/>
  <c r="I30" i="8812"/>
  <c r="I29"/>
  <c r="I33"/>
  <c r="I34"/>
  <c r="I32"/>
  <c r="I31"/>
  <c r="J30"/>
  <c r="J31"/>
  <c r="J32"/>
  <c r="J33"/>
  <c r="E30"/>
  <c r="E31"/>
  <c r="E32"/>
  <c r="E33"/>
  <c r="D24"/>
  <c r="E7"/>
  <c r="D7"/>
  <c r="D6"/>
  <c r="F8" i="16"/>
  <c r="C17" i="4348"/>
  <c r="F17"/>
  <c r="E208"/>
  <c r="F208"/>
  <c r="E274"/>
  <c r="F274"/>
  <c r="F275"/>
  <c r="G36" i="1911"/>
  <c r="I71" i="8848"/>
  <c r="B218" i="4348"/>
  <c r="E227"/>
  <c r="F227"/>
  <c r="F228"/>
  <c r="E242"/>
  <c r="F242"/>
  <c r="F243"/>
  <c r="F220"/>
  <c r="F221"/>
  <c r="F222"/>
  <c r="F223"/>
  <c r="F224"/>
  <c r="F225"/>
  <c r="F226"/>
  <c r="E210"/>
  <c r="F210"/>
  <c r="F211"/>
  <c r="E193"/>
  <c r="F193"/>
  <c r="F194"/>
  <c r="B169"/>
  <c r="B122"/>
  <c r="E129"/>
  <c r="F129"/>
  <c r="F130"/>
  <c r="B154"/>
  <c r="F171"/>
  <c r="F172"/>
  <c r="F173"/>
  <c r="F174"/>
  <c r="F175"/>
  <c r="E176"/>
  <c r="F176"/>
  <c r="F177"/>
  <c r="F159"/>
  <c r="F160"/>
  <c r="E161"/>
  <c r="F161"/>
  <c r="F162"/>
  <c r="F142"/>
  <c r="F143"/>
  <c r="E144"/>
  <c r="F144"/>
  <c r="F145"/>
  <c r="E431"/>
  <c r="F431"/>
  <c r="F432"/>
  <c r="I70" i="8848"/>
  <c r="I76" i="8841"/>
  <c r="I75" i="8848"/>
  <c r="E206" i="4348"/>
  <c r="F206"/>
  <c r="F11" i="16"/>
  <c r="C16" i="4348"/>
  <c r="F16"/>
  <c r="E207"/>
  <c r="F207"/>
  <c r="F209"/>
  <c r="E240"/>
  <c r="F240"/>
  <c r="F241"/>
  <c r="E127"/>
  <c r="F127"/>
  <c r="F128"/>
  <c r="E203"/>
  <c r="F203"/>
  <c r="E188"/>
  <c r="F188"/>
  <c r="F189"/>
  <c r="F190"/>
  <c r="E124"/>
  <c r="F124"/>
  <c r="F125"/>
  <c r="F126"/>
  <c r="F133"/>
  <c r="E237"/>
  <c r="F237"/>
  <c r="E139"/>
  <c r="F139"/>
  <c r="F140"/>
  <c r="F141"/>
  <c r="E156"/>
  <c r="F156"/>
  <c r="F14" i="16"/>
  <c r="A4"/>
  <c r="A5"/>
  <c r="A6"/>
  <c r="A7"/>
  <c r="A8"/>
  <c r="A9"/>
  <c r="A10"/>
  <c r="A11"/>
  <c r="A12"/>
  <c r="A13"/>
  <c r="A14"/>
  <c r="F13"/>
  <c r="I104" i="8836"/>
  <c r="J105"/>
  <c r="R105"/>
  <c r="X105"/>
  <c r="G89"/>
  <c r="I65"/>
  <c r="J66"/>
  <c r="J94"/>
  <c r="J98"/>
  <c r="J99"/>
  <c r="J100"/>
  <c r="J101"/>
  <c r="R101"/>
  <c r="J108"/>
  <c r="J109"/>
  <c r="R109"/>
  <c r="X109"/>
  <c r="M113"/>
  <c r="J114"/>
  <c r="R114"/>
  <c r="X114"/>
  <c r="J55"/>
  <c r="J59"/>
  <c r="J60"/>
  <c r="J61"/>
  <c r="J62"/>
  <c r="R62"/>
  <c r="R66"/>
  <c r="X66"/>
  <c r="M70"/>
  <c r="J71"/>
  <c r="R71"/>
  <c r="X71"/>
  <c r="U123"/>
  <c r="U83"/>
  <c r="J89"/>
  <c r="O89"/>
  <c r="O123"/>
  <c r="X89"/>
  <c r="I49"/>
  <c r="J50"/>
  <c r="O50"/>
  <c r="F79" i="8859"/>
  <c r="F80"/>
  <c r="E81"/>
  <c r="F81"/>
  <c r="F85"/>
  <c r="G57"/>
  <c r="G82"/>
  <c r="H82"/>
  <c r="G58"/>
  <c r="G83"/>
  <c r="G59"/>
  <c r="G84"/>
  <c r="H84"/>
  <c r="F87"/>
  <c r="F88"/>
  <c r="F89"/>
  <c r="F90"/>
  <c r="F91"/>
  <c r="F94"/>
  <c r="G93"/>
  <c r="H93"/>
  <c r="H94"/>
  <c r="J94"/>
  <c r="F54"/>
  <c r="F55"/>
  <c r="E56"/>
  <c r="F56"/>
  <c r="F60"/>
  <c r="H57"/>
  <c r="H58"/>
  <c r="H59"/>
  <c r="H60"/>
  <c r="L60"/>
  <c r="F62"/>
  <c r="F63"/>
  <c r="F64"/>
  <c r="F65"/>
  <c r="F66"/>
  <c r="F69"/>
  <c r="G67"/>
  <c r="H67"/>
  <c r="G68"/>
  <c r="H68"/>
  <c r="H69"/>
  <c r="J69"/>
  <c r="F70" i="8839"/>
  <c r="F71"/>
  <c r="G68"/>
  <c r="H68"/>
  <c r="G69"/>
  <c r="H69"/>
  <c r="H70"/>
  <c r="H71"/>
  <c r="H72"/>
  <c r="J70"/>
  <c r="J71"/>
  <c r="J72"/>
  <c r="J74"/>
  <c r="G58"/>
  <c r="H58"/>
  <c r="G59"/>
  <c r="H59"/>
  <c r="G60"/>
  <c r="H60"/>
  <c r="G94"/>
  <c r="H94"/>
  <c r="G95"/>
  <c r="H95"/>
  <c r="H96"/>
  <c r="H97"/>
  <c r="H98"/>
  <c r="G84"/>
  <c r="H84"/>
  <c r="G85"/>
  <c r="H85"/>
  <c r="G86"/>
  <c r="H86"/>
  <c r="F96"/>
  <c r="F97"/>
  <c r="J96"/>
  <c r="J97"/>
  <c r="J98"/>
  <c r="J100"/>
  <c r="E72" i="8841"/>
  <c r="E117"/>
  <c r="E162"/>
  <c r="F162"/>
  <c r="I25" i="8812"/>
  <c r="E64" i="8839"/>
  <c r="F64"/>
  <c r="I26" i="8812"/>
  <c r="E65" i="8839"/>
  <c r="F65"/>
  <c r="I24" i="8812"/>
  <c r="E66" i="8839"/>
  <c r="F66"/>
  <c r="I27" i="8812"/>
  <c r="E67" i="8839"/>
  <c r="F67"/>
  <c r="I28" i="8812"/>
  <c r="E55" i="8839"/>
  <c r="F55"/>
  <c r="I35" i="8812"/>
  <c r="E56" i="8839"/>
  <c r="F56"/>
  <c r="I37" i="8812"/>
  <c r="E57" i="8839"/>
  <c r="F57"/>
  <c r="E90"/>
  <c r="F90"/>
  <c r="E92"/>
  <c r="F92"/>
  <c r="E81"/>
  <c r="F81"/>
  <c r="E82"/>
  <c r="F82"/>
  <c r="E83"/>
  <c r="F83"/>
  <c r="C50" i="8834"/>
  <c r="C51"/>
  <c r="C52"/>
  <c r="C53"/>
  <c r="C57"/>
  <c r="C64"/>
  <c r="C72" i="8825"/>
  <c r="C73"/>
  <c r="C74"/>
  <c r="C75"/>
  <c r="C79"/>
  <c r="C80"/>
  <c r="C86"/>
  <c r="C21" i="8834"/>
  <c r="C28"/>
  <c r="C272" i="8858"/>
  <c r="C275"/>
  <c r="C268"/>
  <c r="C261"/>
  <c r="C79" i="8820"/>
  <c r="C80"/>
  <c r="C86"/>
  <c r="C50"/>
  <c r="C57"/>
  <c r="E35" i="8830"/>
  <c r="E36"/>
  <c r="E38"/>
  <c r="E39"/>
  <c r="E42"/>
  <c r="D92" i="8853"/>
  <c r="D60"/>
  <c r="F158"/>
  <c r="F159"/>
  <c r="F154"/>
  <c r="F155"/>
  <c r="F156"/>
  <c r="F203"/>
  <c r="E22"/>
  <c r="F142"/>
  <c r="F143"/>
  <c r="F144"/>
  <c r="F145"/>
  <c r="F146"/>
  <c r="F147"/>
  <c r="F148"/>
  <c r="F131"/>
  <c r="F132"/>
  <c r="F133"/>
  <c r="F134"/>
  <c r="F135"/>
  <c r="F136"/>
  <c r="F137"/>
  <c r="F138"/>
  <c r="F139"/>
  <c r="F140"/>
  <c r="F124"/>
  <c r="F125"/>
  <c r="F126"/>
  <c r="F127"/>
  <c r="F128"/>
  <c r="F129"/>
  <c r="F117"/>
  <c r="F118"/>
  <c r="F119"/>
  <c r="F120"/>
  <c r="F121"/>
  <c r="F122"/>
  <c r="F108"/>
  <c r="F109"/>
  <c r="F110"/>
  <c r="F111"/>
  <c r="F112"/>
  <c r="F113"/>
  <c r="F114"/>
  <c r="F115"/>
  <c r="F105"/>
  <c r="F106"/>
  <c r="F101"/>
  <c r="F102"/>
  <c r="F103"/>
  <c r="F84"/>
  <c r="F85"/>
  <c r="F86"/>
  <c r="F87"/>
  <c r="F88"/>
  <c r="F89"/>
  <c r="F90"/>
  <c r="F72"/>
  <c r="F73"/>
  <c r="F74"/>
  <c r="F75"/>
  <c r="F76"/>
  <c r="F77"/>
  <c r="F78"/>
  <c r="F79"/>
  <c r="F80"/>
  <c r="F81"/>
  <c r="F64"/>
  <c r="F65"/>
  <c r="F66"/>
  <c r="F67"/>
  <c r="F68"/>
  <c r="F69"/>
  <c r="F59"/>
  <c r="F60"/>
  <c r="F61"/>
  <c r="F55"/>
  <c r="F56"/>
  <c r="F50"/>
  <c r="F51"/>
  <c r="F52"/>
  <c r="F200"/>
  <c r="F199"/>
  <c r="F198"/>
  <c r="F197"/>
  <c r="F196"/>
  <c r="F195"/>
  <c r="F192"/>
  <c r="F191"/>
  <c r="F190"/>
  <c r="F189"/>
  <c r="F188"/>
  <c r="F187"/>
  <c r="F186"/>
  <c r="F185"/>
  <c r="F184"/>
  <c r="F181"/>
  <c r="F180"/>
  <c r="F179"/>
  <c r="F178"/>
  <c r="F177"/>
  <c r="F174"/>
  <c r="F173"/>
  <c r="F172"/>
  <c r="F171"/>
  <c r="F170"/>
  <c r="F167"/>
  <c r="F166"/>
  <c r="F165"/>
  <c r="F164"/>
  <c r="F163"/>
  <c r="F162"/>
  <c r="F161"/>
  <c r="F72" i="8856"/>
  <c r="F73"/>
  <c r="F75"/>
  <c r="F76"/>
  <c r="E84"/>
  <c r="F84"/>
  <c r="F64"/>
  <c r="F65"/>
  <c r="E69"/>
  <c r="F69"/>
  <c r="F70"/>
  <c r="F57"/>
  <c r="F58"/>
  <c r="E61"/>
  <c r="F61"/>
  <c r="F49"/>
  <c r="E53"/>
  <c r="F53"/>
  <c r="H75"/>
  <c r="H76"/>
  <c r="G80"/>
  <c r="H80"/>
  <c r="G81"/>
  <c r="H81"/>
  <c r="G82"/>
  <c r="H82"/>
  <c r="G83"/>
  <c r="H83"/>
  <c r="G66"/>
  <c r="H66"/>
  <c r="G67"/>
  <c r="H67"/>
  <c r="G68"/>
  <c r="H68"/>
  <c r="G59"/>
  <c r="H59"/>
  <c r="G60"/>
  <c r="H60"/>
  <c r="H62"/>
  <c r="H49"/>
  <c r="G50"/>
  <c r="H50"/>
  <c r="G51"/>
  <c r="H51"/>
  <c r="H55"/>
  <c r="I52"/>
  <c r="J52"/>
  <c r="J75"/>
  <c r="J76"/>
  <c r="J49"/>
  <c r="J118"/>
  <c r="J119"/>
  <c r="G123"/>
  <c r="H123"/>
  <c r="G124"/>
  <c r="H124"/>
  <c r="G125"/>
  <c r="H125"/>
  <c r="G126"/>
  <c r="H126"/>
  <c r="J92"/>
  <c r="G93"/>
  <c r="H93"/>
  <c r="G94"/>
  <c r="H94"/>
  <c r="I95"/>
  <c r="J95"/>
  <c r="H118"/>
  <c r="H119"/>
  <c r="G109"/>
  <c r="H109"/>
  <c r="G110"/>
  <c r="H110"/>
  <c r="G111"/>
  <c r="H111"/>
  <c r="G102"/>
  <c r="H102"/>
  <c r="G103"/>
  <c r="H103"/>
  <c r="H105"/>
  <c r="H92"/>
  <c r="H98"/>
  <c r="F115"/>
  <c r="F116"/>
  <c r="F118"/>
  <c r="F119"/>
  <c r="E127"/>
  <c r="F127"/>
  <c r="F107"/>
  <c r="F108"/>
  <c r="E112"/>
  <c r="F112"/>
  <c r="F113"/>
  <c r="F100"/>
  <c r="F101"/>
  <c r="E104"/>
  <c r="F104"/>
  <c r="F92"/>
  <c r="E96"/>
  <c r="F96"/>
  <c r="I77"/>
  <c r="J77"/>
  <c r="I78"/>
  <c r="J78"/>
  <c r="I79"/>
  <c r="J79"/>
  <c r="I120"/>
  <c r="J120"/>
  <c r="I121"/>
  <c r="J121"/>
  <c r="I122"/>
  <c r="J122"/>
  <c r="F26" i="1911"/>
  <c r="E79" i="8856"/>
  <c r="F79"/>
  <c r="E122"/>
  <c r="F122"/>
  <c r="H244" i="8858"/>
  <c r="I244"/>
  <c r="E244"/>
  <c r="H245"/>
  <c r="I245"/>
  <c r="E245"/>
  <c r="H246"/>
  <c r="I246"/>
  <c r="E246"/>
  <c r="H247"/>
  <c r="I247"/>
  <c r="E247"/>
  <c r="C225"/>
  <c r="C226"/>
  <c r="C227"/>
  <c r="H227"/>
  <c r="I227"/>
  <c r="E227"/>
  <c r="C228"/>
  <c r="H228"/>
  <c r="I228"/>
  <c r="E228"/>
  <c r="C229"/>
  <c r="H229"/>
  <c r="I229"/>
  <c r="E229"/>
  <c r="C219"/>
  <c r="C220"/>
  <c r="C213"/>
  <c r="C221"/>
  <c r="H221"/>
  <c r="I221"/>
  <c r="C222"/>
  <c r="H222"/>
  <c r="I222"/>
  <c r="C214"/>
  <c r="H214"/>
  <c r="I214"/>
  <c r="C215"/>
  <c r="H215"/>
  <c r="I215"/>
  <c r="E215"/>
  <c r="C216"/>
  <c r="E57"/>
  <c r="E53"/>
  <c r="C97"/>
  <c r="C98"/>
  <c r="C99"/>
  <c r="E93"/>
  <c r="E92"/>
  <c r="E136"/>
  <c r="E135"/>
  <c r="H128"/>
  <c r="I128"/>
  <c r="E128"/>
  <c r="H130"/>
  <c r="I130"/>
  <c r="E130"/>
  <c r="E179"/>
  <c r="E178"/>
  <c r="E289"/>
  <c r="E283"/>
  <c r="E282"/>
  <c r="E237"/>
  <c r="K243"/>
  <c r="I243"/>
  <c r="G243"/>
  <c r="E243"/>
  <c r="E222"/>
  <c r="E214"/>
  <c r="E236"/>
  <c r="F44"/>
  <c r="G44"/>
  <c r="F55"/>
  <c r="G55"/>
  <c r="E55"/>
  <c r="F54"/>
  <c r="G54"/>
  <c r="E54"/>
  <c r="F137"/>
  <c r="G137"/>
  <c r="E137"/>
  <c r="F94"/>
  <c r="G94"/>
  <c r="E94"/>
  <c r="F93"/>
  <c r="F126"/>
  <c r="G126"/>
  <c r="F127"/>
  <c r="G127"/>
  <c r="F131"/>
  <c r="G131"/>
  <c r="E131"/>
  <c r="E127"/>
  <c r="E126"/>
  <c r="F180"/>
  <c r="G180"/>
  <c r="E180"/>
  <c r="F284"/>
  <c r="G284"/>
  <c r="E284"/>
  <c r="F239"/>
  <c r="G239"/>
  <c r="E239"/>
  <c r="F238"/>
  <c r="G238"/>
  <c r="E238"/>
  <c r="I46" i="8812"/>
  <c r="E281" i="8858"/>
  <c r="I47" i="8812"/>
  <c r="J241" i="8858"/>
  <c r="K241"/>
  <c r="J242"/>
  <c r="K242"/>
  <c r="J213"/>
  <c r="K213"/>
  <c r="J240"/>
  <c r="K240"/>
  <c r="K250"/>
  <c r="F241"/>
  <c r="G241"/>
  <c r="I43" i="8812"/>
  <c r="E69" i="8848"/>
  <c r="I42" i="8812"/>
  <c r="E68" i="8848"/>
  <c r="E9" i="8812"/>
  <c r="E10"/>
  <c r="E11"/>
  <c r="E14"/>
  <c r="E15"/>
  <c r="E16"/>
  <c r="E17"/>
  <c r="E18"/>
  <c r="E19"/>
  <c r="E20"/>
  <c r="I12"/>
  <c r="E12"/>
  <c r="I13"/>
  <c r="I15"/>
  <c r="I41"/>
  <c r="I40"/>
  <c r="I39"/>
  <c r="I38"/>
  <c r="I36"/>
  <c r="I22"/>
  <c r="G32" i="1911"/>
  <c r="G30"/>
  <c r="F30"/>
  <c r="E30"/>
  <c r="D30"/>
  <c r="G28"/>
  <c r="G26"/>
  <c r="G24"/>
  <c r="F24"/>
  <c r="E24"/>
  <c r="D24"/>
  <c r="E22"/>
  <c r="G22"/>
  <c r="G20"/>
  <c r="E20"/>
  <c r="F20"/>
  <c r="D20"/>
  <c r="G18"/>
  <c r="E32"/>
  <c r="E18"/>
  <c r="F18"/>
  <c r="D18"/>
  <c r="E28"/>
  <c r="J143" i="8850"/>
  <c r="J144"/>
  <c r="J145"/>
  <c r="J146"/>
  <c r="J147"/>
  <c r="J148"/>
  <c r="J153"/>
  <c r="H143"/>
  <c r="H144"/>
  <c r="H145"/>
  <c r="H153"/>
  <c r="F146"/>
  <c r="F147"/>
  <c r="F148"/>
  <c r="F153"/>
  <c r="J123"/>
  <c r="J124"/>
  <c r="J125"/>
  <c r="J126"/>
  <c r="J127"/>
  <c r="J128"/>
  <c r="J133"/>
  <c r="H123"/>
  <c r="H124"/>
  <c r="H125"/>
  <c r="H133"/>
  <c r="F126"/>
  <c r="F127"/>
  <c r="F128"/>
  <c r="F133"/>
  <c r="J105"/>
  <c r="J106"/>
  <c r="J107"/>
  <c r="J108"/>
  <c r="J109"/>
  <c r="J110"/>
  <c r="H105"/>
  <c r="H106"/>
  <c r="H107"/>
  <c r="H115"/>
  <c r="F108"/>
  <c r="F109"/>
  <c r="F110"/>
  <c r="F115"/>
  <c r="J85"/>
  <c r="H85"/>
  <c r="J86"/>
  <c r="H86"/>
  <c r="J87"/>
  <c r="H87"/>
  <c r="J88"/>
  <c r="F88"/>
  <c r="J89"/>
  <c r="F89"/>
  <c r="J90"/>
  <c r="F90"/>
  <c r="H95"/>
  <c r="F95"/>
  <c r="K97"/>
  <c r="K98"/>
  <c r="J68"/>
  <c r="J69"/>
  <c r="J70"/>
  <c r="J71"/>
  <c r="J72"/>
  <c r="J73"/>
  <c r="F152" i="8841"/>
  <c r="F153"/>
  <c r="E157"/>
  <c r="F157"/>
  <c r="F159"/>
  <c r="J105" i="8854"/>
  <c r="J106"/>
  <c r="J107"/>
  <c r="J108"/>
  <c r="J109"/>
  <c r="J110"/>
  <c r="J111"/>
  <c r="J112"/>
  <c r="J113"/>
  <c r="I114"/>
  <c r="J114"/>
  <c r="I115"/>
  <c r="J115"/>
  <c r="I116"/>
  <c r="J116"/>
  <c r="J117"/>
  <c r="J119"/>
  <c r="H105"/>
  <c r="H106"/>
  <c r="H107"/>
  <c r="H108"/>
  <c r="H109"/>
  <c r="G110"/>
  <c r="H110"/>
  <c r="F110"/>
  <c r="K110"/>
  <c r="G111"/>
  <c r="H111"/>
  <c r="F111"/>
  <c r="K111"/>
  <c r="G112"/>
  <c r="H112"/>
  <c r="F112"/>
  <c r="K112"/>
  <c r="G113"/>
  <c r="H113"/>
  <c r="F113"/>
  <c r="K113"/>
  <c r="H117"/>
  <c r="F105"/>
  <c r="F106"/>
  <c r="F107"/>
  <c r="F108"/>
  <c r="F109"/>
  <c r="E115"/>
  <c r="F115"/>
  <c r="F117"/>
  <c r="J86"/>
  <c r="H86"/>
  <c r="F86"/>
  <c r="K86"/>
  <c r="J87"/>
  <c r="H87"/>
  <c r="F87"/>
  <c r="K87"/>
  <c r="J88"/>
  <c r="H88"/>
  <c r="F88"/>
  <c r="K88"/>
  <c r="J89"/>
  <c r="H89"/>
  <c r="F89"/>
  <c r="K89"/>
  <c r="J90"/>
  <c r="H90"/>
  <c r="F90"/>
  <c r="K90"/>
  <c r="J91"/>
  <c r="G91"/>
  <c r="H91"/>
  <c r="F91"/>
  <c r="K91"/>
  <c r="J92"/>
  <c r="G92"/>
  <c r="H92"/>
  <c r="F92"/>
  <c r="K92"/>
  <c r="J93"/>
  <c r="G93"/>
  <c r="H93"/>
  <c r="F93"/>
  <c r="K93"/>
  <c r="J94"/>
  <c r="G94"/>
  <c r="H94"/>
  <c r="F94"/>
  <c r="K94"/>
  <c r="I95"/>
  <c r="J95"/>
  <c r="I96"/>
  <c r="J96"/>
  <c r="E96"/>
  <c r="F96"/>
  <c r="I97"/>
  <c r="J97"/>
  <c r="J98"/>
  <c r="H98"/>
  <c r="F98"/>
  <c r="K98"/>
  <c r="J68"/>
  <c r="H68"/>
  <c r="F68"/>
  <c r="K68"/>
  <c r="J69"/>
  <c r="H69"/>
  <c r="F69"/>
  <c r="K69"/>
  <c r="J70"/>
  <c r="H70"/>
  <c r="F70"/>
  <c r="K70"/>
  <c r="J71"/>
  <c r="H71"/>
  <c r="F71"/>
  <c r="K71"/>
  <c r="J72"/>
  <c r="H72"/>
  <c r="F72"/>
  <c r="K72"/>
  <c r="J73"/>
  <c r="G73"/>
  <c r="H73"/>
  <c r="F73"/>
  <c r="K73"/>
  <c r="J74"/>
  <c r="G74"/>
  <c r="H74"/>
  <c r="F74"/>
  <c r="K74"/>
  <c r="J75"/>
  <c r="G75"/>
  <c r="H75"/>
  <c r="F75"/>
  <c r="K75"/>
  <c r="J76"/>
  <c r="G76"/>
  <c r="H76"/>
  <c r="F76"/>
  <c r="K76"/>
  <c r="I77"/>
  <c r="J77"/>
  <c r="I78"/>
  <c r="J78"/>
  <c r="E78"/>
  <c r="F78"/>
  <c r="I79"/>
  <c r="J79"/>
  <c r="J80"/>
  <c r="H80"/>
  <c r="F80"/>
  <c r="K80"/>
  <c r="C26" i="8825"/>
  <c r="F26"/>
  <c r="G26"/>
  <c r="C27"/>
  <c r="F27"/>
  <c r="G27"/>
  <c r="C28"/>
  <c r="F28"/>
  <c r="G28"/>
  <c r="C29"/>
  <c r="F29"/>
  <c r="G29"/>
  <c r="E29"/>
  <c r="C30"/>
  <c r="F30"/>
  <c r="G30"/>
  <c r="C31"/>
  <c r="C32"/>
  <c r="C33"/>
  <c r="F34"/>
  <c r="C35"/>
  <c r="F37"/>
  <c r="C38"/>
  <c r="H38"/>
  <c r="I38"/>
  <c r="C39"/>
  <c r="H39"/>
  <c r="I39"/>
  <c r="C40"/>
  <c r="H40"/>
  <c r="I40"/>
  <c r="E40"/>
  <c r="C41"/>
  <c r="H41"/>
  <c r="I41"/>
  <c r="J32"/>
  <c r="K32"/>
  <c r="J33"/>
  <c r="K33"/>
  <c r="J34"/>
  <c r="J35"/>
  <c r="K35"/>
  <c r="J36"/>
  <c r="J37"/>
  <c r="C42"/>
  <c r="C19"/>
  <c r="F19"/>
  <c r="G19"/>
  <c r="C20"/>
  <c r="F20"/>
  <c r="G20"/>
  <c r="E20"/>
  <c r="C21"/>
  <c r="H21"/>
  <c r="I21"/>
  <c r="C22"/>
  <c r="H22"/>
  <c r="I22"/>
  <c r="E22"/>
  <c r="C23"/>
  <c r="H23"/>
  <c r="I23"/>
  <c r="E23"/>
  <c r="C12"/>
  <c r="F12"/>
  <c r="G12"/>
  <c r="C13"/>
  <c r="F13"/>
  <c r="G13"/>
  <c r="C14"/>
  <c r="H14"/>
  <c r="I14"/>
  <c r="C15"/>
  <c r="H15"/>
  <c r="I15"/>
  <c r="C6"/>
  <c r="F6"/>
  <c r="G6"/>
  <c r="G10"/>
  <c r="C7"/>
  <c r="H7"/>
  <c r="I7"/>
  <c r="E7"/>
  <c r="C8"/>
  <c r="H8"/>
  <c r="I8"/>
  <c r="J6"/>
  <c r="K6"/>
  <c r="C9"/>
  <c r="C164"/>
  <c r="F164"/>
  <c r="G164"/>
  <c r="C165"/>
  <c r="F165"/>
  <c r="G165"/>
  <c r="C166"/>
  <c r="F166"/>
  <c r="G166"/>
  <c r="C167"/>
  <c r="F167"/>
  <c r="G167"/>
  <c r="E167"/>
  <c r="C168"/>
  <c r="F168"/>
  <c r="G168"/>
  <c r="C169"/>
  <c r="C170"/>
  <c r="C171"/>
  <c r="C172"/>
  <c r="F172"/>
  <c r="G172"/>
  <c r="C173"/>
  <c r="F175"/>
  <c r="C176"/>
  <c r="H176"/>
  <c r="I176"/>
  <c r="C177"/>
  <c r="H177"/>
  <c r="I177"/>
  <c r="C178"/>
  <c r="H178"/>
  <c r="I178"/>
  <c r="E178"/>
  <c r="C179"/>
  <c r="H179"/>
  <c r="I179"/>
  <c r="J170"/>
  <c r="K170"/>
  <c r="J171"/>
  <c r="K171"/>
  <c r="J172"/>
  <c r="K172"/>
  <c r="J173"/>
  <c r="K173"/>
  <c r="J174"/>
  <c r="J175"/>
  <c r="C180"/>
  <c r="C157"/>
  <c r="F157"/>
  <c r="G157"/>
  <c r="C158"/>
  <c r="F158"/>
  <c r="G158"/>
  <c r="E158"/>
  <c r="C159"/>
  <c r="H159"/>
  <c r="I159"/>
  <c r="C160"/>
  <c r="H160"/>
  <c r="I160"/>
  <c r="E160"/>
  <c r="C161"/>
  <c r="H161"/>
  <c r="I161"/>
  <c r="E161"/>
  <c r="C151"/>
  <c r="F151"/>
  <c r="G151"/>
  <c r="C152"/>
  <c r="F152"/>
  <c r="G152"/>
  <c r="C153"/>
  <c r="H153"/>
  <c r="I153"/>
  <c r="C154"/>
  <c r="H154"/>
  <c r="I154"/>
  <c r="C145"/>
  <c r="F145"/>
  <c r="G145"/>
  <c r="G149"/>
  <c r="C146"/>
  <c r="H146"/>
  <c r="I146"/>
  <c r="E146"/>
  <c r="C147"/>
  <c r="H147"/>
  <c r="I147"/>
  <c r="J145"/>
  <c r="K145"/>
  <c r="C148"/>
  <c r="C118"/>
  <c r="F118"/>
  <c r="G118"/>
  <c r="C119"/>
  <c r="F119"/>
  <c r="G119"/>
  <c r="C120"/>
  <c r="F120"/>
  <c r="G120"/>
  <c r="C121"/>
  <c r="F121"/>
  <c r="G121"/>
  <c r="E121"/>
  <c r="C122"/>
  <c r="F122"/>
  <c r="G122"/>
  <c r="C123"/>
  <c r="C124"/>
  <c r="C125"/>
  <c r="F126"/>
  <c r="C127"/>
  <c r="F129"/>
  <c r="C130"/>
  <c r="H130"/>
  <c r="I130"/>
  <c r="C131"/>
  <c r="H131"/>
  <c r="I131"/>
  <c r="C132"/>
  <c r="H132"/>
  <c r="I132"/>
  <c r="E132"/>
  <c r="C133"/>
  <c r="H133"/>
  <c r="I133"/>
  <c r="J124"/>
  <c r="K124"/>
  <c r="J125"/>
  <c r="K125"/>
  <c r="J126"/>
  <c r="J127"/>
  <c r="K127"/>
  <c r="J128"/>
  <c r="J129"/>
  <c r="C134"/>
  <c r="C111"/>
  <c r="F111"/>
  <c r="G111"/>
  <c r="C112"/>
  <c r="F112"/>
  <c r="G112"/>
  <c r="E112"/>
  <c r="C113"/>
  <c r="H113"/>
  <c r="I113"/>
  <c r="C114"/>
  <c r="H114"/>
  <c r="I114"/>
  <c r="E114"/>
  <c r="C115"/>
  <c r="H115"/>
  <c r="I115"/>
  <c r="E115"/>
  <c r="C105"/>
  <c r="F105"/>
  <c r="G105"/>
  <c r="C106"/>
  <c r="F106"/>
  <c r="G106"/>
  <c r="C107"/>
  <c r="H107"/>
  <c r="I107"/>
  <c r="C108"/>
  <c r="H108"/>
  <c r="I108"/>
  <c r="C99"/>
  <c r="F99"/>
  <c r="G99"/>
  <c r="G103"/>
  <c r="C100"/>
  <c r="H100"/>
  <c r="I100"/>
  <c r="E100"/>
  <c r="C101"/>
  <c r="H101"/>
  <c r="I101"/>
  <c r="J99"/>
  <c r="K99"/>
  <c r="C102"/>
  <c r="C86" i="8834"/>
  <c r="F86"/>
  <c r="G86"/>
  <c r="C87"/>
  <c r="F87"/>
  <c r="G87"/>
  <c r="C88"/>
  <c r="F88"/>
  <c r="G88"/>
  <c r="C89"/>
  <c r="F89"/>
  <c r="G89"/>
  <c r="E89"/>
  <c r="C90"/>
  <c r="F90"/>
  <c r="G90"/>
  <c r="C91"/>
  <c r="C92"/>
  <c r="C93"/>
  <c r="C94"/>
  <c r="F94"/>
  <c r="G94"/>
  <c r="C95"/>
  <c r="F97"/>
  <c r="C98"/>
  <c r="H98"/>
  <c r="I98"/>
  <c r="C99"/>
  <c r="H99"/>
  <c r="I99"/>
  <c r="C100"/>
  <c r="H100"/>
  <c r="I100"/>
  <c r="E100"/>
  <c r="C101"/>
  <c r="H101"/>
  <c r="I101"/>
  <c r="J92"/>
  <c r="K92"/>
  <c r="J93"/>
  <c r="K93"/>
  <c r="J94"/>
  <c r="K94"/>
  <c r="J95"/>
  <c r="K95"/>
  <c r="J96"/>
  <c r="J97"/>
  <c r="C102"/>
  <c r="C78"/>
  <c r="F78"/>
  <c r="G78"/>
  <c r="C79"/>
  <c r="F79"/>
  <c r="G79"/>
  <c r="E79"/>
  <c r="C80"/>
  <c r="H80"/>
  <c r="I80"/>
  <c r="C81"/>
  <c r="H81"/>
  <c r="I81"/>
  <c r="E81"/>
  <c r="C82"/>
  <c r="H82"/>
  <c r="I82"/>
  <c r="E82"/>
  <c r="K117" i="8854"/>
  <c r="K109"/>
  <c r="K108"/>
  <c r="K107"/>
  <c r="K106"/>
  <c r="K105"/>
  <c r="E86" i="8834"/>
  <c r="E88"/>
  <c r="E90"/>
  <c r="E99"/>
  <c r="E101"/>
  <c r="H18" i="8825"/>
  <c r="C18"/>
  <c r="I18"/>
  <c r="E18"/>
  <c r="E179"/>
  <c r="E177"/>
  <c r="E168"/>
  <c r="E166"/>
  <c r="E164"/>
  <c r="E154"/>
  <c r="E133"/>
  <c r="E131"/>
  <c r="E108"/>
  <c r="E101"/>
  <c r="E15"/>
  <c r="E8"/>
  <c r="E39"/>
  <c r="E41"/>
  <c r="E30"/>
  <c r="E28"/>
  <c r="E26"/>
  <c r="E118"/>
  <c r="E120"/>
  <c r="E122"/>
  <c r="E147"/>
  <c r="E151"/>
  <c r="E12"/>
  <c r="E105"/>
  <c r="K118" i="8850"/>
  <c r="K117"/>
  <c r="K133"/>
  <c r="K135"/>
  <c r="K136"/>
  <c r="K143"/>
  <c r="K144"/>
  <c r="K145"/>
  <c r="K153"/>
  <c r="K155"/>
  <c r="K156"/>
  <c r="I83" i="8834"/>
  <c r="E80"/>
  <c r="E78"/>
  <c r="G83"/>
  <c r="I116" i="8825"/>
  <c r="E113"/>
  <c r="G116"/>
  <c r="E111"/>
  <c r="E116"/>
  <c r="E130"/>
  <c r="J134"/>
  <c r="K134"/>
  <c r="E134"/>
  <c r="E119"/>
  <c r="F123"/>
  <c r="G123"/>
  <c r="E123"/>
  <c r="I155"/>
  <c r="E153"/>
  <c r="E152"/>
  <c r="G155"/>
  <c r="E176"/>
  <c r="J180"/>
  <c r="K180"/>
  <c r="E180"/>
  <c r="F169"/>
  <c r="G169"/>
  <c r="E169"/>
  <c r="E165"/>
  <c r="I16"/>
  <c r="E14"/>
  <c r="G16"/>
  <c r="E16"/>
  <c r="E13"/>
  <c r="J83" i="8854"/>
  <c r="J100"/>
  <c r="I128" i="8856"/>
  <c r="J128"/>
  <c r="F96" i="8853"/>
  <c r="E20"/>
  <c r="F150"/>
  <c r="E21"/>
  <c r="F87" i="8839"/>
  <c r="F61"/>
  <c r="H87"/>
  <c r="J102" i="8834"/>
  <c r="K102"/>
  <c r="E102"/>
  <c r="E98"/>
  <c r="E87"/>
  <c r="F91"/>
  <c r="G91"/>
  <c r="E91"/>
  <c r="I109" i="8825"/>
  <c r="E107"/>
  <c r="E106"/>
  <c r="G109"/>
  <c r="E159"/>
  <c r="I162"/>
  <c r="E157"/>
  <c r="E162"/>
  <c r="G162"/>
  <c r="E21"/>
  <c r="I24"/>
  <c r="G24"/>
  <c r="E19"/>
  <c r="J42"/>
  <c r="K42"/>
  <c r="E42"/>
  <c r="E38"/>
  <c r="E27"/>
  <c r="F31"/>
  <c r="G31"/>
  <c r="E31"/>
  <c r="E221" i="8858"/>
  <c r="I223"/>
  <c r="C126" i="8825"/>
  <c r="C175"/>
  <c r="C174"/>
  <c r="H113" i="8856"/>
  <c r="K113"/>
  <c r="H70"/>
  <c r="I85"/>
  <c r="J85"/>
  <c r="K70"/>
  <c r="H100" i="8839"/>
  <c r="H61"/>
  <c r="H74"/>
  <c r="F238" i="4348"/>
  <c r="F239"/>
  <c r="I75" i="8841"/>
  <c r="D56" i="1911"/>
  <c r="F53" i="8825"/>
  <c r="G53"/>
  <c r="G57"/>
  <c r="F22" i="8834"/>
  <c r="F80" i="8825"/>
  <c r="F58" i="8834"/>
  <c r="F80" i="8820"/>
  <c r="F51"/>
  <c r="J185" i="8858"/>
  <c r="K185"/>
  <c r="K142"/>
  <c r="H185"/>
  <c r="I185"/>
  <c r="I142"/>
  <c r="F342" i="4348"/>
  <c r="F44" i="1911"/>
  <c r="E72" i="8849"/>
  <c r="E84"/>
  <c r="F71"/>
  <c r="E76" i="8850"/>
  <c r="F83" i="8825"/>
  <c r="F61" i="8834"/>
  <c r="F83" i="8820"/>
  <c r="F54"/>
  <c r="E75" i="8848"/>
  <c r="F25" i="8834"/>
  <c r="E123" i="8841"/>
  <c r="F78"/>
  <c r="E74"/>
  <c r="E13" i="8812"/>
  <c r="G132" i="8858"/>
  <c r="F98" i="8856"/>
  <c r="F105"/>
  <c r="K105"/>
  <c r="I97"/>
  <c r="J97"/>
  <c r="J98"/>
  <c r="I54"/>
  <c r="J54"/>
  <c r="J55"/>
  <c r="F55"/>
  <c r="F62"/>
  <c r="K62"/>
  <c r="E93" i="8839"/>
  <c r="F93"/>
  <c r="E91"/>
  <c r="F91"/>
  <c r="E89"/>
  <c r="F89"/>
  <c r="F98"/>
  <c r="E63"/>
  <c r="F63"/>
  <c r="F72"/>
  <c r="F150" i="4348"/>
  <c r="F231"/>
  <c r="H83" i="8859"/>
  <c r="H85"/>
  <c r="L85"/>
  <c r="G92"/>
  <c r="H92"/>
  <c r="X50" i="8836"/>
  <c r="O83"/>
  <c r="X62"/>
  <c r="R83"/>
  <c r="X101"/>
  <c r="R123"/>
  <c r="F157" i="4348"/>
  <c r="F158"/>
  <c r="F204"/>
  <c r="F205"/>
  <c r="I70" i="8859"/>
  <c r="J70"/>
  <c r="J71"/>
  <c r="J73"/>
  <c r="I95"/>
  <c r="J95"/>
  <c r="J96"/>
  <c r="J98"/>
  <c r="F445" i="4348"/>
  <c r="F446"/>
  <c r="F454"/>
  <c r="F74" i="8850"/>
  <c r="E91"/>
  <c r="F185" i="8858"/>
  <c r="G185"/>
  <c r="E185"/>
  <c r="G142"/>
  <c r="E142"/>
  <c r="F287"/>
  <c r="G287"/>
  <c r="F183"/>
  <c r="G183"/>
  <c r="F97"/>
  <c r="F140"/>
  <c r="G140"/>
  <c r="I84" i="8849"/>
  <c r="J71"/>
  <c r="E157" i="8848"/>
  <c r="F157"/>
  <c r="E114"/>
  <c r="F114"/>
  <c r="F71"/>
  <c r="D60" i="1911"/>
  <c r="I80" i="8841"/>
  <c r="J74"/>
  <c r="I119"/>
  <c r="X123" i="8836"/>
  <c r="M24"/>
  <c r="F182" i="4348"/>
  <c r="F358"/>
  <c r="F438"/>
  <c r="D44" i="1911"/>
  <c r="F219" i="8858"/>
  <c r="F59" i="8825"/>
  <c r="G59"/>
  <c r="E63" i="8841"/>
  <c r="E62" i="8848"/>
  <c r="F226" i="8858"/>
  <c r="F66" i="8825"/>
  <c r="F220" i="8858"/>
  <c r="F60" i="8825"/>
  <c r="G60"/>
  <c r="E60"/>
  <c r="F43" i="8834"/>
  <c r="G43"/>
  <c r="E43"/>
  <c r="F7"/>
  <c r="G7"/>
  <c r="E7"/>
  <c r="F42"/>
  <c r="G42"/>
  <c r="F6"/>
  <c r="G6"/>
  <c r="F76" i="8825"/>
  <c r="G76"/>
  <c r="E76"/>
  <c r="F54" i="8834"/>
  <c r="G54"/>
  <c r="E54"/>
  <c r="F18"/>
  <c r="G18"/>
  <c r="E18"/>
  <c r="F76" i="8820"/>
  <c r="G76"/>
  <c r="E76"/>
  <c r="F47"/>
  <c r="G47"/>
  <c r="E47"/>
  <c r="F75" i="8825"/>
  <c r="F53" i="8834"/>
  <c r="F17"/>
  <c r="G17"/>
  <c r="E17"/>
  <c r="F75" i="8820"/>
  <c r="G75"/>
  <c r="E75"/>
  <c r="F46"/>
  <c r="G46"/>
  <c r="E46"/>
  <c r="F74" i="8825"/>
  <c r="F52" i="8834"/>
  <c r="F16"/>
  <c r="G16"/>
  <c r="E16"/>
  <c r="F74" i="8820"/>
  <c r="G74"/>
  <c r="E74"/>
  <c r="F45"/>
  <c r="G45"/>
  <c r="E45"/>
  <c r="F73" i="8825"/>
  <c r="F51" i="8834"/>
  <c r="F15"/>
  <c r="G15"/>
  <c r="E15"/>
  <c r="F73" i="8820"/>
  <c r="G73"/>
  <c r="E73"/>
  <c r="F44"/>
  <c r="G44"/>
  <c r="E44"/>
  <c r="F72" i="8825"/>
  <c r="F50" i="8834"/>
  <c r="F14"/>
  <c r="G14"/>
  <c r="F72" i="8820"/>
  <c r="G72"/>
  <c r="F43"/>
  <c r="G43"/>
  <c r="E54" i="8841"/>
  <c r="E55" i="8848"/>
  <c r="E55" i="8841"/>
  <c r="E56" i="8848"/>
  <c r="E154"/>
  <c r="F154"/>
  <c r="E111"/>
  <c r="F111"/>
  <c r="F68"/>
  <c r="E155"/>
  <c r="F155"/>
  <c r="E112"/>
  <c r="F112"/>
  <c r="F69"/>
  <c r="F283" i="8858"/>
  <c r="F237"/>
  <c r="F179"/>
  <c r="F136"/>
  <c r="F285"/>
  <c r="G285"/>
  <c r="E285"/>
  <c r="F181"/>
  <c r="G181"/>
  <c r="E181"/>
  <c r="F138"/>
  <c r="G138"/>
  <c r="E138"/>
  <c r="F95"/>
  <c r="G95"/>
  <c r="E95"/>
  <c r="E44"/>
  <c r="F170"/>
  <c r="G170"/>
  <c r="E170"/>
  <c r="F84"/>
  <c r="G84"/>
  <c r="E84"/>
  <c r="F45"/>
  <c r="G45"/>
  <c r="F169"/>
  <c r="G169"/>
  <c r="F83"/>
  <c r="G83"/>
  <c r="G99"/>
  <c r="I99"/>
  <c r="K99"/>
  <c r="G97"/>
  <c r="G80" i="8820"/>
  <c r="G80" i="8825"/>
  <c r="J80"/>
  <c r="K80"/>
  <c r="J53"/>
  <c r="K53"/>
  <c r="J58" i="8834"/>
  <c r="J22"/>
  <c r="J80" i="8820"/>
  <c r="K80"/>
  <c r="J51"/>
  <c r="H78" i="8825"/>
  <c r="I78"/>
  <c r="H56" i="8834"/>
  <c r="I56"/>
  <c r="H20"/>
  <c r="I20"/>
  <c r="H78" i="8820"/>
  <c r="I78"/>
  <c r="H49"/>
  <c r="I49"/>
  <c r="F78" i="8825"/>
  <c r="G78"/>
  <c r="F56" i="8834"/>
  <c r="G56"/>
  <c r="F20"/>
  <c r="G20"/>
  <c r="F78" i="8820"/>
  <c r="G78"/>
  <c r="F49"/>
  <c r="G49"/>
  <c r="J287" i="8858"/>
  <c r="K287"/>
  <c r="J183"/>
  <c r="K183"/>
  <c r="J140"/>
  <c r="K140"/>
  <c r="J97"/>
  <c r="K97"/>
  <c r="I91" i="8850"/>
  <c r="J74"/>
  <c r="I78"/>
  <c r="D52" i="1911"/>
  <c r="G75" i="8825"/>
  <c r="E75"/>
  <c r="G74"/>
  <c r="E74"/>
  <c r="G73"/>
  <c r="E73"/>
  <c r="G72"/>
  <c r="G53" i="8834"/>
  <c r="E53"/>
  <c r="G52"/>
  <c r="E52"/>
  <c r="G51"/>
  <c r="E51"/>
  <c r="G50"/>
  <c r="G139" i="8841"/>
  <c r="H139"/>
  <c r="G94"/>
  <c r="H94"/>
  <c r="G49"/>
  <c r="H49"/>
  <c r="G136" i="8848"/>
  <c r="H136"/>
  <c r="G93"/>
  <c r="H93"/>
  <c r="G50"/>
  <c r="H50"/>
  <c r="G113" i="8849"/>
  <c r="G174" i="8841"/>
  <c r="H174"/>
  <c r="G129"/>
  <c r="H129"/>
  <c r="G84"/>
  <c r="H84"/>
  <c r="G164" i="8848"/>
  <c r="H164"/>
  <c r="G121"/>
  <c r="H121"/>
  <c r="G78"/>
  <c r="H78"/>
  <c r="G76" i="8849"/>
  <c r="G175" i="8841"/>
  <c r="H175"/>
  <c r="G156"/>
  <c r="H156"/>
  <c r="G147"/>
  <c r="H147"/>
  <c r="G140"/>
  <c r="H140"/>
  <c r="G130"/>
  <c r="H130"/>
  <c r="G111"/>
  <c r="H111"/>
  <c r="G102"/>
  <c r="H102"/>
  <c r="G95"/>
  <c r="H95"/>
  <c r="G85"/>
  <c r="H85"/>
  <c r="G66"/>
  <c r="H66"/>
  <c r="G57"/>
  <c r="H57"/>
  <c r="G50"/>
  <c r="H50"/>
  <c r="G137" i="8848"/>
  <c r="H137"/>
  <c r="G165"/>
  <c r="H165"/>
  <c r="G151"/>
  <c r="H151"/>
  <c r="G144"/>
  <c r="H144"/>
  <c r="G94"/>
  <c r="H94"/>
  <c r="G122"/>
  <c r="H122"/>
  <c r="G108"/>
  <c r="H108"/>
  <c r="G101"/>
  <c r="H101"/>
  <c r="G51"/>
  <c r="H51"/>
  <c r="G79"/>
  <c r="H79"/>
  <c r="G65"/>
  <c r="H65"/>
  <c r="G58"/>
  <c r="H58"/>
  <c r="G114" i="8849"/>
  <c r="G77"/>
  <c r="G121"/>
  <c r="G173" i="8841"/>
  <c r="H173"/>
  <c r="G155"/>
  <c r="H155"/>
  <c r="G146"/>
  <c r="H146"/>
  <c r="G128"/>
  <c r="H128"/>
  <c r="G110"/>
  <c r="H110"/>
  <c r="G101"/>
  <c r="H101"/>
  <c r="G83"/>
  <c r="H83"/>
  <c r="G65"/>
  <c r="H65"/>
  <c r="G56"/>
  <c r="H56"/>
  <c r="G163" i="8848"/>
  <c r="H163"/>
  <c r="G150"/>
  <c r="H150"/>
  <c r="G143"/>
  <c r="H143"/>
  <c r="H145"/>
  <c r="G120"/>
  <c r="H120"/>
  <c r="G107"/>
  <c r="H107"/>
  <c r="G100"/>
  <c r="H100"/>
  <c r="H102"/>
  <c r="G77"/>
  <c r="H77"/>
  <c r="G64"/>
  <c r="H64"/>
  <c r="G57"/>
  <c r="H57"/>
  <c r="H59"/>
  <c r="G75" i="8849"/>
  <c r="G120"/>
  <c r="G172" i="8841"/>
  <c r="H172"/>
  <c r="G154"/>
  <c r="H154"/>
  <c r="G127"/>
  <c r="H127"/>
  <c r="G109"/>
  <c r="H109"/>
  <c r="G82"/>
  <c r="H82"/>
  <c r="G64"/>
  <c r="H64"/>
  <c r="G162" i="8848"/>
  <c r="H162"/>
  <c r="G149"/>
  <c r="H149"/>
  <c r="H152"/>
  <c r="G119"/>
  <c r="H119"/>
  <c r="G106"/>
  <c r="H106"/>
  <c r="H109"/>
  <c r="G76"/>
  <c r="H76"/>
  <c r="G63"/>
  <c r="H63"/>
  <c r="H66"/>
  <c r="E319" i="4348"/>
  <c r="F319"/>
  <c r="F320"/>
  <c r="E272"/>
  <c r="F272"/>
  <c r="F273"/>
  <c r="I161" i="8848"/>
  <c r="J161"/>
  <c r="I118"/>
  <c r="J118"/>
  <c r="J75"/>
  <c r="I79" i="8841"/>
  <c r="I74" i="8848"/>
  <c r="I73" i="8849"/>
  <c r="I73" i="8848"/>
  <c r="I128" i="8849"/>
  <c r="I121" i="8841"/>
  <c r="J76"/>
  <c r="I156" i="8848"/>
  <c r="J156"/>
  <c r="I113"/>
  <c r="J113"/>
  <c r="J70"/>
  <c r="I77" i="8841"/>
  <c r="I48"/>
  <c r="I72" i="8848"/>
  <c r="I49"/>
  <c r="I111" i="8849"/>
  <c r="I157" i="8848"/>
  <c r="J157"/>
  <c r="I114"/>
  <c r="J114"/>
  <c r="J71"/>
  <c r="E159" i="8849"/>
  <c r="F159"/>
  <c r="E118"/>
  <c r="F118"/>
  <c r="E160"/>
  <c r="F160"/>
  <c r="E119"/>
  <c r="F119"/>
  <c r="E62" i="8841"/>
  <c r="E61" i="8848"/>
  <c r="E166" i="8849"/>
  <c r="F166"/>
  <c r="E125"/>
  <c r="F125"/>
  <c r="E167"/>
  <c r="F167"/>
  <c r="E126"/>
  <c r="F126"/>
  <c r="E168"/>
  <c r="F168"/>
  <c r="E127"/>
  <c r="F127"/>
  <c r="E175"/>
  <c r="F175"/>
  <c r="E134"/>
  <c r="F134"/>
  <c r="E95"/>
  <c r="F95"/>
  <c r="E82"/>
  <c r="F82"/>
  <c r="E69"/>
  <c r="F69"/>
  <c r="E176"/>
  <c r="F176"/>
  <c r="E135"/>
  <c r="F135"/>
  <c r="E96"/>
  <c r="F96"/>
  <c r="E83"/>
  <c r="F83"/>
  <c r="E70"/>
  <c r="F70"/>
  <c r="I98"/>
  <c r="J85"/>
  <c r="I100"/>
  <c r="J87"/>
  <c r="E116" i="8841"/>
  <c r="F71"/>
  <c r="E118"/>
  <c r="F73"/>
  <c r="I123"/>
  <c r="J78"/>
  <c r="I120"/>
  <c r="J75"/>
  <c r="D46" i="1911"/>
  <c r="F92" i="8858"/>
  <c r="F135"/>
  <c r="F178"/>
  <c r="F235"/>
  <c r="G235"/>
  <c r="F236"/>
  <c r="F282"/>
  <c r="E383" i="4348"/>
  <c r="F383"/>
  <c r="F384"/>
  <c r="F390"/>
  <c r="F72" i="8841"/>
  <c r="F117"/>
  <c r="J54" i="8820"/>
  <c r="J53"/>
  <c r="J52"/>
  <c r="K52"/>
  <c r="J50"/>
  <c r="K50"/>
  <c r="J49"/>
  <c r="K49"/>
  <c r="H58"/>
  <c r="I58"/>
  <c r="E58"/>
  <c r="H57"/>
  <c r="I57"/>
  <c r="E57"/>
  <c r="H56"/>
  <c r="I56"/>
  <c r="E56"/>
  <c r="H55"/>
  <c r="I55"/>
  <c r="J83"/>
  <c r="J82"/>
  <c r="J81"/>
  <c r="K81"/>
  <c r="J79"/>
  <c r="K79"/>
  <c r="J78"/>
  <c r="K78"/>
  <c r="H87"/>
  <c r="I87"/>
  <c r="E87"/>
  <c r="H86"/>
  <c r="I86"/>
  <c r="E86"/>
  <c r="H85"/>
  <c r="I85"/>
  <c r="E85"/>
  <c r="H84"/>
  <c r="I84"/>
  <c r="H10" i="8834"/>
  <c r="I10"/>
  <c r="E10"/>
  <c r="H9"/>
  <c r="I9"/>
  <c r="E9"/>
  <c r="H8"/>
  <c r="I8"/>
  <c r="J25"/>
  <c r="J24"/>
  <c r="J23"/>
  <c r="K23"/>
  <c r="J21"/>
  <c r="K21"/>
  <c r="J20"/>
  <c r="K20"/>
  <c r="H29"/>
  <c r="I29"/>
  <c r="E29"/>
  <c r="H28"/>
  <c r="I28"/>
  <c r="E28"/>
  <c r="H27"/>
  <c r="I27"/>
  <c r="E27"/>
  <c r="H26"/>
  <c r="I26"/>
  <c r="H46"/>
  <c r="I46"/>
  <c r="E46"/>
  <c r="H45"/>
  <c r="I45"/>
  <c r="E45"/>
  <c r="H44"/>
  <c r="I44"/>
  <c r="J61"/>
  <c r="J60"/>
  <c r="J59"/>
  <c r="K59"/>
  <c r="J57"/>
  <c r="K57"/>
  <c r="J56"/>
  <c r="K56"/>
  <c r="H65"/>
  <c r="I65"/>
  <c r="E65"/>
  <c r="H64"/>
  <c r="I64"/>
  <c r="E64"/>
  <c r="H63"/>
  <c r="I63"/>
  <c r="E63"/>
  <c r="H62"/>
  <c r="I62"/>
  <c r="H55" i="8825"/>
  <c r="C55"/>
  <c r="I55"/>
  <c r="E55"/>
  <c r="H54"/>
  <c r="I54"/>
  <c r="E54"/>
  <c r="H62"/>
  <c r="C62"/>
  <c r="H61"/>
  <c r="I61"/>
  <c r="H69"/>
  <c r="C69"/>
  <c r="I69"/>
  <c r="E69"/>
  <c r="H68"/>
  <c r="I68"/>
  <c r="E68"/>
  <c r="H67"/>
  <c r="I67"/>
  <c r="C66"/>
  <c r="G66"/>
  <c r="E66"/>
  <c r="F65"/>
  <c r="G65"/>
  <c r="J83"/>
  <c r="J82"/>
  <c r="J81"/>
  <c r="K81"/>
  <c r="J79"/>
  <c r="K79"/>
  <c r="J78"/>
  <c r="K78"/>
  <c r="H87"/>
  <c r="I87"/>
  <c r="E87"/>
  <c r="H86"/>
  <c r="I86"/>
  <c r="E86"/>
  <c r="H85"/>
  <c r="I85"/>
  <c r="E85"/>
  <c r="H84"/>
  <c r="I84"/>
  <c r="E70" i="8850"/>
  <c r="F70"/>
  <c r="K70"/>
  <c r="E69"/>
  <c r="F69"/>
  <c r="K69"/>
  <c r="E68"/>
  <c r="F68"/>
  <c r="E87"/>
  <c r="F87"/>
  <c r="K87"/>
  <c r="E86"/>
  <c r="F86"/>
  <c r="K86"/>
  <c r="E85"/>
  <c r="F85"/>
  <c r="E107"/>
  <c r="F107"/>
  <c r="K107"/>
  <c r="E106"/>
  <c r="F106"/>
  <c r="K106"/>
  <c r="E105"/>
  <c r="F105"/>
  <c r="E125"/>
  <c r="F125"/>
  <c r="K125"/>
  <c r="E124"/>
  <c r="F124"/>
  <c r="K124"/>
  <c r="E123"/>
  <c r="F123"/>
  <c r="G73"/>
  <c r="G72"/>
  <c r="G71"/>
  <c r="I77"/>
  <c r="I76"/>
  <c r="I75"/>
  <c r="H48" i="8858"/>
  <c r="I48"/>
  <c r="E48"/>
  <c r="H47"/>
  <c r="I47"/>
  <c r="E47"/>
  <c r="H46"/>
  <c r="I46"/>
  <c r="J56"/>
  <c r="K56"/>
  <c r="K62"/>
  <c r="K77"/>
  <c r="H61"/>
  <c r="I61"/>
  <c r="E61"/>
  <c r="H60"/>
  <c r="I60"/>
  <c r="E60"/>
  <c r="H59"/>
  <c r="I59"/>
  <c r="E59"/>
  <c r="H58"/>
  <c r="I58"/>
  <c r="E58"/>
  <c r="F52"/>
  <c r="G52"/>
  <c r="H87"/>
  <c r="I87"/>
  <c r="E87"/>
  <c r="H86"/>
  <c r="I86"/>
  <c r="E86"/>
  <c r="H85"/>
  <c r="I85"/>
  <c r="J98"/>
  <c r="K98"/>
  <c r="J96"/>
  <c r="K96"/>
  <c r="H103"/>
  <c r="I103"/>
  <c r="E103"/>
  <c r="H102"/>
  <c r="I102"/>
  <c r="E102"/>
  <c r="H101"/>
  <c r="I101"/>
  <c r="E101"/>
  <c r="H100"/>
  <c r="I100"/>
  <c r="E100"/>
  <c r="F91"/>
  <c r="G91"/>
  <c r="H129"/>
  <c r="I129"/>
  <c r="J141"/>
  <c r="K141"/>
  <c r="J139"/>
  <c r="K139"/>
  <c r="K149"/>
  <c r="K163"/>
  <c r="H146"/>
  <c r="I146"/>
  <c r="E146"/>
  <c r="H145"/>
  <c r="I145"/>
  <c r="E145"/>
  <c r="H144"/>
  <c r="I144"/>
  <c r="E144"/>
  <c r="H143"/>
  <c r="I143"/>
  <c r="E143"/>
  <c r="F134"/>
  <c r="G134"/>
  <c r="H173"/>
  <c r="I173"/>
  <c r="E173"/>
  <c r="H172"/>
  <c r="I172"/>
  <c r="E172"/>
  <c r="H171"/>
  <c r="I171"/>
  <c r="J184"/>
  <c r="K184"/>
  <c r="J182"/>
  <c r="K182"/>
  <c r="K192"/>
  <c r="K207"/>
  <c r="H189"/>
  <c r="I189"/>
  <c r="E189"/>
  <c r="H188"/>
  <c r="I188"/>
  <c r="E188"/>
  <c r="H187"/>
  <c r="I187"/>
  <c r="E187"/>
  <c r="H186"/>
  <c r="I186"/>
  <c r="E186"/>
  <c r="F177"/>
  <c r="G177"/>
  <c r="J259"/>
  <c r="K259"/>
  <c r="H261"/>
  <c r="I261"/>
  <c r="E261"/>
  <c r="H260"/>
  <c r="I260"/>
  <c r="E260"/>
  <c r="H268"/>
  <c r="I268"/>
  <c r="E268"/>
  <c r="H267"/>
  <c r="I267"/>
  <c r="H275"/>
  <c r="I275"/>
  <c r="E275"/>
  <c r="H274"/>
  <c r="I274"/>
  <c r="E274"/>
  <c r="H273"/>
  <c r="I273"/>
  <c r="F225"/>
  <c r="J288"/>
  <c r="K288"/>
  <c r="J286"/>
  <c r="K286"/>
  <c r="K296"/>
  <c r="H293"/>
  <c r="I293"/>
  <c r="E293"/>
  <c r="H292"/>
  <c r="I292"/>
  <c r="E292"/>
  <c r="H291"/>
  <c r="I291"/>
  <c r="E291"/>
  <c r="H290"/>
  <c r="I290"/>
  <c r="E290"/>
  <c r="J74" i="8849"/>
  <c r="J72"/>
  <c r="E119" i="8841"/>
  <c r="F74"/>
  <c r="I81"/>
  <c r="D40" i="1911"/>
  <c r="F57" i="8834"/>
  <c r="G57"/>
  <c r="F79" i="8820"/>
  <c r="G79"/>
  <c r="F50"/>
  <c r="G50"/>
  <c r="E76" i="8841"/>
  <c r="F79" i="8825"/>
  <c r="G79"/>
  <c r="F21" i="8834"/>
  <c r="G21"/>
  <c r="F33" i="8825"/>
  <c r="G33"/>
  <c r="F171"/>
  <c r="G171"/>
  <c r="F125"/>
  <c r="G125"/>
  <c r="F93" i="8834"/>
  <c r="G93"/>
  <c r="E77" i="8841"/>
  <c r="G77"/>
  <c r="E72" i="8848"/>
  <c r="E49"/>
  <c r="F259" i="8858"/>
  <c r="G259"/>
  <c r="G263"/>
  <c r="E48" i="8841"/>
  <c r="E111" i="8849"/>
  <c r="F213" i="8858"/>
  <c r="G213"/>
  <c r="G217"/>
  <c r="E73" i="8848"/>
  <c r="E128" i="8849"/>
  <c r="F288" i="8858"/>
  <c r="G288"/>
  <c r="F184"/>
  <c r="G184"/>
  <c r="E75" i="8850"/>
  <c r="F23" i="8834"/>
  <c r="G23"/>
  <c r="F141" i="8858"/>
  <c r="G141"/>
  <c r="F98"/>
  <c r="G98"/>
  <c r="F81" i="8825"/>
  <c r="G81"/>
  <c r="F59" i="8834"/>
  <c r="G59"/>
  <c r="F81" i="8820"/>
  <c r="G81"/>
  <c r="F52"/>
  <c r="G52"/>
  <c r="E77" i="8856"/>
  <c r="F77"/>
  <c r="E120"/>
  <c r="F120"/>
  <c r="F242" i="8858"/>
  <c r="G242"/>
  <c r="E116" i="8854"/>
  <c r="F116"/>
  <c r="E97"/>
  <c r="F97"/>
  <c r="E79"/>
  <c r="F79"/>
  <c r="F35" i="8825"/>
  <c r="G35"/>
  <c r="F173"/>
  <c r="G173"/>
  <c r="F127"/>
  <c r="G127"/>
  <c r="F95" i="8834"/>
  <c r="G95"/>
  <c r="H32" i="8825"/>
  <c r="I32"/>
  <c r="H170"/>
  <c r="I170"/>
  <c r="H124"/>
  <c r="I124"/>
  <c r="H92" i="8834"/>
  <c r="I92"/>
  <c r="I164" i="8841"/>
  <c r="J164"/>
  <c r="J119"/>
  <c r="I125"/>
  <c r="J80"/>
  <c r="J84" i="8849"/>
  <c r="I97"/>
  <c r="L98" i="8839"/>
  <c r="F100"/>
  <c r="C82" i="8825"/>
  <c r="C96" i="8834"/>
  <c r="C82" i="8820"/>
  <c r="C83"/>
  <c r="G83"/>
  <c r="F76" i="8850"/>
  <c r="E93"/>
  <c r="E97" i="8849"/>
  <c r="F84"/>
  <c r="F32" i="8825"/>
  <c r="G32"/>
  <c r="F170"/>
  <c r="G170"/>
  <c r="E170"/>
  <c r="F124"/>
  <c r="G124"/>
  <c r="E124"/>
  <c r="F92" i="8834"/>
  <c r="G92"/>
  <c r="E92"/>
  <c r="G175" i="8825"/>
  <c r="K175"/>
  <c r="C129"/>
  <c r="C128"/>
  <c r="K82"/>
  <c r="K83" i="8820"/>
  <c r="X83" i="8836"/>
  <c r="M23"/>
  <c r="E24" i="8825"/>
  <c r="E109"/>
  <c r="L61" i="8839"/>
  <c r="E155" i="8825"/>
  <c r="E83" i="8834"/>
  <c r="E79" i="8841"/>
  <c r="E73" i="8849"/>
  <c r="F182" i="8858"/>
  <c r="G182"/>
  <c r="F96"/>
  <c r="G96"/>
  <c r="F56"/>
  <c r="G56"/>
  <c r="E77" i="8850"/>
  <c r="F24" i="8834"/>
  <c r="E74" i="8848"/>
  <c r="F286" i="8858"/>
  <c r="G286"/>
  <c r="F139"/>
  <c r="G139"/>
  <c r="F82" i="8825"/>
  <c r="F60" i="8834"/>
  <c r="F82" i="8820"/>
  <c r="F53"/>
  <c r="E70" i="8859"/>
  <c r="F70"/>
  <c r="F71"/>
  <c r="F73"/>
  <c r="E95"/>
  <c r="F95"/>
  <c r="F96"/>
  <c r="F98"/>
  <c r="F36" i="8825"/>
  <c r="F174"/>
  <c r="F128"/>
  <c r="F96" i="8834"/>
  <c r="E78" i="8856"/>
  <c r="F78"/>
  <c r="E121"/>
  <c r="F121"/>
  <c r="F240" i="8858"/>
  <c r="G240"/>
  <c r="E114" i="8854"/>
  <c r="F114"/>
  <c r="F119"/>
  <c r="E95"/>
  <c r="F95"/>
  <c r="F100"/>
  <c r="E77"/>
  <c r="F77"/>
  <c r="F83"/>
  <c r="E111" i="8850"/>
  <c r="F91"/>
  <c r="F214" i="4348"/>
  <c r="F28" i="1911"/>
  <c r="D28"/>
  <c r="F165" i="4348"/>
  <c r="F22" i="1911"/>
  <c r="D22"/>
  <c r="F74" i="8839"/>
  <c r="L72"/>
  <c r="L74"/>
  <c r="F22"/>
  <c r="C58" i="8834"/>
  <c r="G58"/>
  <c r="C34" i="8825"/>
  <c r="C22" i="8834"/>
  <c r="G22"/>
  <c r="C51" i="8820"/>
  <c r="G51"/>
  <c r="E168" i="8841"/>
  <c r="F168"/>
  <c r="F123"/>
  <c r="E161" i="8848"/>
  <c r="F161"/>
  <c r="E118"/>
  <c r="F118"/>
  <c r="F75"/>
  <c r="F72" i="8849"/>
  <c r="E85"/>
  <c r="F247" i="4348"/>
  <c r="F32" i="1911"/>
  <c r="D32"/>
  <c r="G174" i="8825"/>
  <c r="G181"/>
  <c r="G184"/>
  <c r="K174"/>
  <c r="K181"/>
  <c r="G126"/>
  <c r="K126"/>
  <c r="I62"/>
  <c r="E62"/>
  <c r="K82" i="8820"/>
  <c r="K51"/>
  <c r="K22" i="8834"/>
  <c r="K55" i="8856"/>
  <c r="K98"/>
  <c r="F38" i="4348"/>
  <c r="D6" i="1911"/>
  <c r="L87" i="8839"/>
  <c r="F192" i="4348"/>
  <c r="F271" i="8858"/>
  <c r="G271"/>
  <c r="G225"/>
  <c r="E273"/>
  <c r="I269"/>
  <c r="E267"/>
  <c r="F190"/>
  <c r="G190"/>
  <c r="E190"/>
  <c r="E177"/>
  <c r="E171"/>
  <c r="I175"/>
  <c r="F147"/>
  <c r="G147"/>
  <c r="E147"/>
  <c r="G149"/>
  <c r="E134"/>
  <c r="E129"/>
  <c r="E132"/>
  <c r="I132"/>
  <c r="F104"/>
  <c r="G104"/>
  <c r="E104"/>
  <c r="E91"/>
  <c r="E85"/>
  <c r="I89"/>
  <c r="G62"/>
  <c r="E52"/>
  <c r="E46"/>
  <c r="I50"/>
  <c r="I92" i="8850"/>
  <c r="J75"/>
  <c r="I93"/>
  <c r="J76"/>
  <c r="I94"/>
  <c r="J77"/>
  <c r="G88"/>
  <c r="H71"/>
  <c r="G89"/>
  <c r="H72"/>
  <c r="K72"/>
  <c r="G90"/>
  <c r="H73"/>
  <c r="K73"/>
  <c r="F374" i="4348"/>
  <c r="K123" i="8850"/>
  <c r="K105"/>
  <c r="F70" i="4348"/>
  <c r="J88" i="8825"/>
  <c r="K88"/>
  <c r="E88"/>
  <c r="E84"/>
  <c r="E65"/>
  <c r="G70"/>
  <c r="E67"/>
  <c r="I70"/>
  <c r="I63"/>
  <c r="E61"/>
  <c r="J66" i="8834"/>
  <c r="K66"/>
  <c r="E66"/>
  <c r="E62"/>
  <c r="E44"/>
  <c r="I47"/>
  <c r="J30"/>
  <c r="K30"/>
  <c r="E30"/>
  <c r="E26"/>
  <c r="E8"/>
  <c r="I11"/>
  <c r="J88" i="8820"/>
  <c r="K88"/>
  <c r="E88"/>
  <c r="E84"/>
  <c r="J59"/>
  <c r="K59"/>
  <c r="E59"/>
  <c r="E55"/>
  <c r="E235" i="8858"/>
  <c r="F248"/>
  <c r="G248"/>
  <c r="E248"/>
  <c r="G250"/>
  <c r="I165" i="8841"/>
  <c r="J165"/>
  <c r="J120"/>
  <c r="I168"/>
  <c r="J168"/>
  <c r="J123"/>
  <c r="E163"/>
  <c r="F163"/>
  <c r="F118"/>
  <c r="E161"/>
  <c r="F161"/>
  <c r="F116"/>
  <c r="I139" i="8849"/>
  <c r="J100"/>
  <c r="I137"/>
  <c r="J98"/>
  <c r="E147" i="8848"/>
  <c r="F147"/>
  <c r="E104"/>
  <c r="F104"/>
  <c r="F61"/>
  <c r="E107" i="8841"/>
  <c r="F107"/>
  <c r="F62"/>
  <c r="I152" i="8849"/>
  <c r="J152"/>
  <c r="J156"/>
  <c r="J111"/>
  <c r="J115"/>
  <c r="I135" i="8848"/>
  <c r="J135"/>
  <c r="J139"/>
  <c r="I92"/>
  <c r="J92"/>
  <c r="J96"/>
  <c r="J49"/>
  <c r="J53"/>
  <c r="I158"/>
  <c r="J158"/>
  <c r="I115"/>
  <c r="J115"/>
  <c r="J72"/>
  <c r="I93" i="8841"/>
  <c r="J48"/>
  <c r="I122"/>
  <c r="J77"/>
  <c r="I166"/>
  <c r="J166"/>
  <c r="J121"/>
  <c r="I169" i="8849"/>
  <c r="J169"/>
  <c r="J172"/>
  <c r="J128"/>
  <c r="J131"/>
  <c r="I159" i="8848"/>
  <c r="J159"/>
  <c r="I116"/>
  <c r="J116"/>
  <c r="J73"/>
  <c r="I86" i="8849"/>
  <c r="J73"/>
  <c r="I160" i="8848"/>
  <c r="J160"/>
  <c r="I117"/>
  <c r="J117"/>
  <c r="J74"/>
  <c r="I124" i="8841"/>
  <c r="J79"/>
  <c r="E36" i="1911"/>
  <c r="F278" i="4348"/>
  <c r="F54"/>
  <c r="D8" i="1911"/>
  <c r="F118" i="4348"/>
  <c r="F86"/>
  <c r="F101"/>
  <c r="F406"/>
  <c r="E42" i="1911"/>
  <c r="F326" i="4348"/>
  <c r="F263"/>
  <c r="F422"/>
  <c r="H69" i="8841"/>
  <c r="I68"/>
  <c r="J68"/>
  <c r="J69"/>
  <c r="H114"/>
  <c r="I113"/>
  <c r="J113"/>
  <c r="J114"/>
  <c r="H159"/>
  <c r="I158"/>
  <c r="J158"/>
  <c r="J159"/>
  <c r="G161" i="8849"/>
  <c r="G129"/>
  <c r="H129"/>
  <c r="H120"/>
  <c r="G181"/>
  <c r="H181"/>
  <c r="G140"/>
  <c r="H140"/>
  <c r="G101"/>
  <c r="H101"/>
  <c r="G88"/>
  <c r="H88"/>
  <c r="H75"/>
  <c r="H60" i="8841"/>
  <c r="I59"/>
  <c r="J59"/>
  <c r="J60"/>
  <c r="H105"/>
  <c r="I104"/>
  <c r="J104"/>
  <c r="J105"/>
  <c r="H150"/>
  <c r="I149"/>
  <c r="J149"/>
  <c r="J150"/>
  <c r="G162" i="8849"/>
  <c r="G130"/>
  <c r="H130"/>
  <c r="H121"/>
  <c r="G183"/>
  <c r="H183"/>
  <c r="G142"/>
  <c r="H142"/>
  <c r="G103"/>
  <c r="H103"/>
  <c r="G90"/>
  <c r="H90"/>
  <c r="H77"/>
  <c r="G155"/>
  <c r="H155"/>
  <c r="H114"/>
  <c r="G182"/>
  <c r="H182"/>
  <c r="G141"/>
  <c r="H141"/>
  <c r="G102"/>
  <c r="H102"/>
  <c r="G89"/>
  <c r="H89"/>
  <c r="H76"/>
  <c r="G154"/>
  <c r="H154"/>
  <c r="H113"/>
  <c r="F55" i="8834"/>
  <c r="G55"/>
  <c r="E55"/>
  <c r="E50"/>
  <c r="F77" i="8825"/>
  <c r="G77"/>
  <c r="E77"/>
  <c r="E72"/>
  <c r="I95" i="8850"/>
  <c r="J78"/>
  <c r="K78"/>
  <c r="J81"/>
  <c r="I111"/>
  <c r="J91"/>
  <c r="E83" i="8858"/>
  <c r="F88"/>
  <c r="G88"/>
  <c r="E88"/>
  <c r="E169"/>
  <c r="F174"/>
  <c r="G174"/>
  <c r="E174"/>
  <c r="G175"/>
  <c r="E45"/>
  <c r="E142" i="8848"/>
  <c r="F142"/>
  <c r="E99"/>
  <c r="F99"/>
  <c r="F56"/>
  <c r="E100" i="8841"/>
  <c r="F55"/>
  <c r="E141" i="8848"/>
  <c r="F141"/>
  <c r="F145"/>
  <c r="K145"/>
  <c r="E98"/>
  <c r="F98"/>
  <c r="F102"/>
  <c r="K102"/>
  <c r="F55"/>
  <c r="F59"/>
  <c r="K59"/>
  <c r="E99" i="8841"/>
  <c r="F54"/>
  <c r="F48" i="8820"/>
  <c r="G48"/>
  <c r="E48"/>
  <c r="E43"/>
  <c r="F77"/>
  <c r="G77"/>
  <c r="E77"/>
  <c r="E72"/>
  <c r="F19" i="8834"/>
  <c r="G19"/>
  <c r="E19"/>
  <c r="E14"/>
  <c r="E6"/>
  <c r="E11"/>
  <c r="G11"/>
  <c r="E42"/>
  <c r="E47"/>
  <c r="G47"/>
  <c r="F266" i="8858"/>
  <c r="G266"/>
  <c r="E266"/>
  <c r="G220"/>
  <c r="E220"/>
  <c r="F272"/>
  <c r="G272"/>
  <c r="E272"/>
  <c r="G226"/>
  <c r="E226"/>
  <c r="E148" i="8848"/>
  <c r="F148"/>
  <c r="E105"/>
  <c r="F105"/>
  <c r="F62"/>
  <c r="E108" i="8841"/>
  <c r="F108"/>
  <c r="F63"/>
  <c r="G63" i="8825"/>
  <c r="E63"/>
  <c r="E59"/>
  <c r="F265" i="8858"/>
  <c r="G265"/>
  <c r="G219"/>
  <c r="J79" i="8849"/>
  <c r="K106" i="8858"/>
  <c r="K120"/>
  <c r="K90" i="8820"/>
  <c r="K97"/>
  <c r="F122" i="8849"/>
  <c r="F163"/>
  <c r="J80" i="8848"/>
  <c r="J81"/>
  <c r="J85"/>
  <c r="J123"/>
  <c r="J124"/>
  <c r="J128"/>
  <c r="J166"/>
  <c r="J167"/>
  <c r="J171"/>
  <c r="K85" i="8850"/>
  <c r="K68"/>
  <c r="E49" i="8820"/>
  <c r="E78"/>
  <c r="E20" i="8834"/>
  <c r="E56"/>
  <c r="E78" i="8825"/>
  <c r="E99" i="8858"/>
  <c r="F49"/>
  <c r="G49"/>
  <c r="E49"/>
  <c r="E50"/>
  <c r="I117" i="8856"/>
  <c r="J117"/>
  <c r="J129"/>
  <c r="J130"/>
  <c r="I74"/>
  <c r="J74"/>
  <c r="J86"/>
  <c r="J87"/>
  <c r="C53" i="8820"/>
  <c r="C54"/>
  <c r="C24" i="8834"/>
  <c r="C25"/>
  <c r="G34" i="8825"/>
  <c r="K34"/>
  <c r="F111" i="8850"/>
  <c r="E129"/>
  <c r="F294" i="8858"/>
  <c r="G294"/>
  <c r="E294"/>
  <c r="F79" i="8841"/>
  <c r="E124"/>
  <c r="G128" i="8825"/>
  <c r="G129"/>
  <c r="G135"/>
  <c r="G138"/>
  <c r="K128"/>
  <c r="E113" i="8850"/>
  <c r="F93"/>
  <c r="G96" i="8834"/>
  <c r="K96"/>
  <c r="I170" i="8841"/>
  <c r="J170"/>
  <c r="J125"/>
  <c r="E92" i="8850"/>
  <c r="F75"/>
  <c r="E159" i="8848"/>
  <c r="F159"/>
  <c r="E116"/>
  <c r="F116"/>
  <c r="F73"/>
  <c r="E152" i="8849"/>
  <c r="F152"/>
  <c r="F111"/>
  <c r="F72" i="8848"/>
  <c r="E158"/>
  <c r="F158"/>
  <c r="E115"/>
  <c r="F115"/>
  <c r="F77" i="8841"/>
  <c r="E122"/>
  <c r="I126"/>
  <c r="J81"/>
  <c r="J86"/>
  <c r="F119"/>
  <c r="E164"/>
  <c r="F164"/>
  <c r="G106" i="8858"/>
  <c r="G192"/>
  <c r="K58" i="8834"/>
  <c r="G82" i="8825"/>
  <c r="L100" i="8839"/>
  <c r="F23"/>
  <c r="F86" i="8856"/>
  <c r="F87"/>
  <c r="E98" i="8849"/>
  <c r="F85"/>
  <c r="C60" i="8834"/>
  <c r="C36" i="8825"/>
  <c r="E160" i="8848"/>
  <c r="F160"/>
  <c r="F74"/>
  <c r="E117"/>
  <c r="F117"/>
  <c r="E94" i="8850"/>
  <c r="F77"/>
  <c r="E86" i="8849"/>
  <c r="F73"/>
  <c r="F79"/>
  <c r="K129" i="8825"/>
  <c r="E32"/>
  <c r="E136" i="8849"/>
  <c r="F97"/>
  <c r="C83" i="8825"/>
  <c r="C97" i="8834"/>
  <c r="I136" i="8849"/>
  <c r="J97"/>
  <c r="E169"/>
  <c r="F169"/>
  <c r="F172"/>
  <c r="F128"/>
  <c r="F131"/>
  <c r="E93" i="8841"/>
  <c r="F48"/>
  <c r="F52"/>
  <c r="E135" i="8848"/>
  <c r="F135"/>
  <c r="E92"/>
  <c r="F92"/>
  <c r="G122" i="8841"/>
  <c r="H77"/>
  <c r="E121"/>
  <c r="F76"/>
  <c r="F86"/>
  <c r="G89" i="8858"/>
  <c r="K135" i="8825"/>
  <c r="G82" i="8820"/>
  <c r="G90"/>
  <c r="F129" i="8856"/>
  <c r="F130"/>
  <c r="G223" i="8858"/>
  <c r="E223"/>
  <c r="E219"/>
  <c r="F230"/>
  <c r="G230"/>
  <c r="E230"/>
  <c r="F276"/>
  <c r="G276"/>
  <c r="E276"/>
  <c r="G269"/>
  <c r="E269"/>
  <c r="E265"/>
  <c r="G97" i="8820"/>
  <c r="E58" i="8841"/>
  <c r="F58"/>
  <c r="F60"/>
  <c r="K60"/>
  <c r="E144"/>
  <c r="F144"/>
  <c r="F99"/>
  <c r="E145"/>
  <c r="F145"/>
  <c r="F100"/>
  <c r="I129" i="8850"/>
  <c r="J111"/>
  <c r="I115"/>
  <c r="J115"/>
  <c r="K115"/>
  <c r="J95"/>
  <c r="K95"/>
  <c r="G171" i="8849"/>
  <c r="H171"/>
  <c r="H162"/>
  <c r="G170"/>
  <c r="H170"/>
  <c r="H161"/>
  <c r="H163"/>
  <c r="G74" i="8841"/>
  <c r="D54" i="1911"/>
  <c r="G48" i="8841"/>
  <c r="G49" i="8848"/>
  <c r="G72"/>
  <c r="G111" i="8849"/>
  <c r="H259" i="8858"/>
  <c r="I259"/>
  <c r="H213"/>
  <c r="I213"/>
  <c r="D34" i="1911"/>
  <c r="G71" i="8849"/>
  <c r="D42" i="1911"/>
  <c r="G78" i="8841"/>
  <c r="D58" i="1911"/>
  <c r="G79" i="8841"/>
  <c r="G74" i="8848"/>
  <c r="G73" i="8849"/>
  <c r="H286" i="8858"/>
  <c r="I286"/>
  <c r="H182"/>
  <c r="I182"/>
  <c r="H139"/>
  <c r="I139"/>
  <c r="H96"/>
  <c r="I96"/>
  <c r="H56"/>
  <c r="I56"/>
  <c r="G77" i="8850"/>
  <c r="H82" i="8825"/>
  <c r="I82"/>
  <c r="E82"/>
  <c r="H60" i="8834"/>
  <c r="I60"/>
  <c r="H24"/>
  <c r="I24"/>
  <c r="H82" i="8820"/>
  <c r="I82"/>
  <c r="E82"/>
  <c r="H53"/>
  <c r="I53"/>
  <c r="G70" i="8859"/>
  <c r="H70"/>
  <c r="H71"/>
  <c r="G95"/>
  <c r="H95"/>
  <c r="H96"/>
  <c r="G78" i="8856"/>
  <c r="H78"/>
  <c r="G121"/>
  <c r="H121"/>
  <c r="H240" i="8858"/>
  <c r="I240"/>
  <c r="D14" i="1911"/>
  <c r="G114" i="8854"/>
  <c r="H114"/>
  <c r="G95"/>
  <c r="H95"/>
  <c r="G77"/>
  <c r="H77"/>
  <c r="H36" i="8825"/>
  <c r="I36"/>
  <c r="H174"/>
  <c r="I174"/>
  <c r="E174"/>
  <c r="H128"/>
  <c r="I128"/>
  <c r="E128"/>
  <c r="H96" i="8834"/>
  <c r="I96"/>
  <c r="E96"/>
  <c r="G73" i="8848"/>
  <c r="G128" i="8849"/>
  <c r="H288" i="8858"/>
  <c r="I288"/>
  <c r="E288"/>
  <c r="H184"/>
  <c r="I184"/>
  <c r="E184"/>
  <c r="H141"/>
  <c r="I141"/>
  <c r="E141"/>
  <c r="H98"/>
  <c r="I98"/>
  <c r="E98"/>
  <c r="G75" i="8850"/>
  <c r="H81" i="8825"/>
  <c r="I81"/>
  <c r="E81"/>
  <c r="H59" i="8834"/>
  <c r="I59"/>
  <c r="E59"/>
  <c r="H23"/>
  <c r="I23"/>
  <c r="E23"/>
  <c r="H81" i="8820"/>
  <c r="I81"/>
  <c r="E81"/>
  <c r="H52"/>
  <c r="I52"/>
  <c r="E52"/>
  <c r="G120" i="8856"/>
  <c r="H120"/>
  <c r="G77"/>
  <c r="H77"/>
  <c r="H242" i="8858"/>
  <c r="I242"/>
  <c r="E242"/>
  <c r="D12" i="1911"/>
  <c r="G116" i="8854"/>
  <c r="H116"/>
  <c r="K116"/>
  <c r="G97"/>
  <c r="H97"/>
  <c r="K97"/>
  <c r="G79"/>
  <c r="H79"/>
  <c r="K79"/>
  <c r="H35" i="8825"/>
  <c r="I35"/>
  <c r="E35"/>
  <c r="H173"/>
  <c r="I173"/>
  <c r="E173"/>
  <c r="H127"/>
  <c r="I127"/>
  <c r="E127"/>
  <c r="H95" i="8834"/>
  <c r="I95"/>
  <c r="E95"/>
  <c r="G75" i="8848"/>
  <c r="G76" i="8850"/>
  <c r="H83" i="8825"/>
  <c r="I83"/>
  <c r="H61" i="8834"/>
  <c r="H25"/>
  <c r="I25"/>
  <c r="H83" i="8820"/>
  <c r="I83"/>
  <c r="E83"/>
  <c r="H54"/>
  <c r="I54"/>
  <c r="G79" i="8856"/>
  <c r="H79"/>
  <c r="G122"/>
  <c r="H122"/>
  <c r="D16" i="1911"/>
  <c r="H37" i="8825"/>
  <c r="H175"/>
  <c r="I175"/>
  <c r="E175"/>
  <c r="H129"/>
  <c r="I129"/>
  <c r="E129"/>
  <c r="H97" i="8834"/>
  <c r="I97"/>
  <c r="G76" i="8841"/>
  <c r="H79" i="8825"/>
  <c r="I79"/>
  <c r="H57" i="8834"/>
  <c r="I57"/>
  <c r="H21"/>
  <c r="I21"/>
  <c r="H79" i="8820"/>
  <c r="I79"/>
  <c r="H50"/>
  <c r="I50"/>
  <c r="H33" i="8825"/>
  <c r="I33"/>
  <c r="H171"/>
  <c r="I171"/>
  <c r="H125"/>
  <c r="I125"/>
  <c r="H93" i="8834"/>
  <c r="I93"/>
  <c r="G71" i="8848"/>
  <c r="D36" i="1911"/>
  <c r="I169" i="8841"/>
  <c r="J169"/>
  <c r="J124"/>
  <c r="I99" i="8849"/>
  <c r="J86"/>
  <c r="J92"/>
  <c r="I167" i="8841"/>
  <c r="J167"/>
  <c r="J122"/>
  <c r="I138"/>
  <c r="J138"/>
  <c r="J93"/>
  <c r="E67"/>
  <c r="F67"/>
  <c r="F69"/>
  <c r="K69"/>
  <c r="E112"/>
  <c r="F112"/>
  <c r="F114"/>
  <c r="K114"/>
  <c r="I178" i="8849"/>
  <c r="J178"/>
  <c r="J137"/>
  <c r="I180"/>
  <c r="J180"/>
  <c r="J139"/>
  <c r="H80" i="8825"/>
  <c r="I80"/>
  <c r="E80"/>
  <c r="H53"/>
  <c r="I53"/>
  <c r="H58" i="8834"/>
  <c r="I58"/>
  <c r="E58"/>
  <c r="H22"/>
  <c r="I22"/>
  <c r="E22"/>
  <c r="H80" i="8820"/>
  <c r="I80"/>
  <c r="E80"/>
  <c r="H51"/>
  <c r="I51"/>
  <c r="E51"/>
  <c r="D10" i="1911"/>
  <c r="H34" i="8825"/>
  <c r="I34"/>
  <c r="E34"/>
  <c r="H6"/>
  <c r="I6"/>
  <c r="H172"/>
  <c r="I172"/>
  <c r="E172"/>
  <c r="H145"/>
  <c r="I145"/>
  <c r="H126"/>
  <c r="I126"/>
  <c r="E126"/>
  <c r="H99"/>
  <c r="I99"/>
  <c r="H94" i="8834"/>
  <c r="I94"/>
  <c r="E94"/>
  <c r="G74" i="8850"/>
  <c r="D50" i="1911"/>
  <c r="G110" i="8850"/>
  <c r="H90"/>
  <c r="K90"/>
  <c r="G109"/>
  <c r="H89"/>
  <c r="K89"/>
  <c r="K71"/>
  <c r="G108"/>
  <c r="H88"/>
  <c r="I114"/>
  <c r="J94"/>
  <c r="I113"/>
  <c r="J93"/>
  <c r="I112"/>
  <c r="J92"/>
  <c r="G120" i="8858"/>
  <c r="G163"/>
  <c r="G207"/>
  <c r="E225"/>
  <c r="G232"/>
  <c r="G233"/>
  <c r="G253"/>
  <c r="E271"/>
  <c r="G278"/>
  <c r="G279"/>
  <c r="F197" i="4348"/>
  <c r="E26" i="1911"/>
  <c r="D26"/>
  <c r="F293" i="4348"/>
  <c r="K163" i="8849"/>
  <c r="G50" i="8858"/>
  <c r="G77"/>
  <c r="E175"/>
  <c r="E89"/>
  <c r="H122" i="8849"/>
  <c r="K122"/>
  <c r="K159" i="8841"/>
  <c r="F66" i="8848"/>
  <c r="K66"/>
  <c r="F109"/>
  <c r="K109"/>
  <c r="F152"/>
  <c r="K152"/>
  <c r="E70" i="8825"/>
  <c r="E166" i="8841"/>
  <c r="F166"/>
  <c r="E167"/>
  <c r="F167"/>
  <c r="E169"/>
  <c r="F169"/>
  <c r="F176"/>
  <c r="F121"/>
  <c r="G167"/>
  <c r="H167"/>
  <c r="H122"/>
  <c r="F93"/>
  <c r="F97"/>
  <c r="E138"/>
  <c r="F138"/>
  <c r="F142"/>
  <c r="J136" i="8849"/>
  <c r="I177"/>
  <c r="J177"/>
  <c r="G83" i="8825"/>
  <c r="K83"/>
  <c r="K89"/>
  <c r="E177" i="8849"/>
  <c r="F177"/>
  <c r="F136"/>
  <c r="E99"/>
  <c r="F86"/>
  <c r="E114" i="8850"/>
  <c r="F94"/>
  <c r="G36" i="8825"/>
  <c r="K36"/>
  <c r="G60" i="8834"/>
  <c r="K60"/>
  <c r="F98" i="8849"/>
  <c r="E137"/>
  <c r="F122" i="8841"/>
  <c r="F124"/>
  <c r="E149" i="8850"/>
  <c r="F149"/>
  <c r="F129"/>
  <c r="G25" i="8834"/>
  <c r="K25"/>
  <c r="G54" i="8820"/>
  <c r="K54"/>
  <c r="E54"/>
  <c r="E25" i="8834"/>
  <c r="E83" i="8825"/>
  <c r="E60" i="8834"/>
  <c r="F123" i="8848"/>
  <c r="F80"/>
  <c r="F79" i="8850"/>
  <c r="K79"/>
  <c r="G97" i="8834"/>
  <c r="K97"/>
  <c r="K105"/>
  <c r="K107"/>
  <c r="C61"/>
  <c r="C37" i="8825"/>
  <c r="I171" i="8841"/>
  <c r="J171"/>
  <c r="J176"/>
  <c r="J126"/>
  <c r="J131"/>
  <c r="E112" i="8850"/>
  <c r="F92"/>
  <c r="F113"/>
  <c r="E131"/>
  <c r="G24" i="8834"/>
  <c r="G33"/>
  <c r="G35"/>
  <c r="K24"/>
  <c r="K33"/>
  <c r="K35"/>
  <c r="G53" i="8820"/>
  <c r="G61"/>
  <c r="G67"/>
  <c r="K53"/>
  <c r="K61"/>
  <c r="K67"/>
  <c r="E97" i="8834"/>
  <c r="I61"/>
  <c r="E36" i="8825"/>
  <c r="E53" i="8820"/>
  <c r="E24" i="8834"/>
  <c r="F92" i="8849"/>
  <c r="G89" i="8825"/>
  <c r="G92"/>
  <c r="F166" i="8848"/>
  <c r="G105" i="8834"/>
  <c r="G107"/>
  <c r="G296" i="8858"/>
  <c r="G299"/>
  <c r="H287"/>
  <c r="I287"/>
  <c r="E287"/>
  <c r="H183"/>
  <c r="I183"/>
  <c r="E183"/>
  <c r="H140"/>
  <c r="I140"/>
  <c r="E140"/>
  <c r="H97"/>
  <c r="I97"/>
  <c r="E97"/>
  <c r="H241"/>
  <c r="I241"/>
  <c r="E241"/>
  <c r="D38" i="1911"/>
  <c r="G115" i="8854"/>
  <c r="H115"/>
  <c r="K115"/>
  <c r="G96"/>
  <c r="H96"/>
  <c r="K96"/>
  <c r="G78"/>
  <c r="H78"/>
  <c r="K78"/>
  <c r="I130" i="8850"/>
  <c r="J112"/>
  <c r="I131"/>
  <c r="J113"/>
  <c r="I132"/>
  <c r="J114"/>
  <c r="K88"/>
  <c r="G126"/>
  <c r="H108"/>
  <c r="G127"/>
  <c r="H109"/>
  <c r="K109"/>
  <c r="G128"/>
  <c r="H110"/>
  <c r="K110"/>
  <c r="G91"/>
  <c r="H74"/>
  <c r="I103" i="8825"/>
  <c r="J102"/>
  <c r="K102"/>
  <c r="E99"/>
  <c r="I149"/>
  <c r="J148"/>
  <c r="K148"/>
  <c r="E145"/>
  <c r="I10"/>
  <c r="J9"/>
  <c r="K9"/>
  <c r="E6"/>
  <c r="I57"/>
  <c r="J56"/>
  <c r="K56"/>
  <c r="E53"/>
  <c r="I138" i="8849"/>
  <c r="J99"/>
  <c r="J105"/>
  <c r="G157" i="8848"/>
  <c r="H157"/>
  <c r="G114"/>
  <c r="H114"/>
  <c r="H71"/>
  <c r="I105" i="8834"/>
  <c r="E93"/>
  <c r="I135" i="8825"/>
  <c r="E125"/>
  <c r="I181"/>
  <c r="E171"/>
  <c r="E33"/>
  <c r="I61" i="8820"/>
  <c r="E50"/>
  <c r="I90"/>
  <c r="E79"/>
  <c r="I33" i="8834"/>
  <c r="E21"/>
  <c r="I69"/>
  <c r="E57"/>
  <c r="I89" i="8825"/>
  <c r="E79"/>
  <c r="G121" i="8841"/>
  <c r="H76"/>
  <c r="G93" i="8850"/>
  <c r="H76"/>
  <c r="K76"/>
  <c r="G161" i="8848"/>
  <c r="H161"/>
  <c r="G118"/>
  <c r="H118"/>
  <c r="H75"/>
  <c r="G92" i="8850"/>
  <c r="H75"/>
  <c r="K75"/>
  <c r="G169" i="8849"/>
  <c r="H169"/>
  <c r="H172"/>
  <c r="K172"/>
  <c r="H128"/>
  <c r="H131"/>
  <c r="K131"/>
  <c r="G159" i="8848"/>
  <c r="H159"/>
  <c r="G116"/>
  <c r="H116"/>
  <c r="H73"/>
  <c r="K77" i="8854"/>
  <c r="K83"/>
  <c r="F24"/>
  <c r="H83"/>
  <c r="K95"/>
  <c r="K100"/>
  <c r="F25"/>
  <c r="H100"/>
  <c r="H119"/>
  <c r="K119"/>
  <c r="F26"/>
  <c r="K114"/>
  <c r="H249" i="8858"/>
  <c r="I249"/>
  <c r="E249"/>
  <c r="E240"/>
  <c r="H98" i="8859"/>
  <c r="L96"/>
  <c r="L98"/>
  <c r="E26"/>
  <c r="H73"/>
  <c r="L71"/>
  <c r="L73"/>
  <c r="E25"/>
  <c r="G94" i="8850"/>
  <c r="H77"/>
  <c r="K77"/>
  <c r="I62" i="8858"/>
  <c r="E56"/>
  <c r="H105"/>
  <c r="I105"/>
  <c r="E105"/>
  <c r="I106"/>
  <c r="E96"/>
  <c r="H148"/>
  <c r="I148"/>
  <c r="E148"/>
  <c r="E139"/>
  <c r="H191"/>
  <c r="I191"/>
  <c r="E191"/>
  <c r="I192"/>
  <c r="E182"/>
  <c r="H295"/>
  <c r="I295"/>
  <c r="E295"/>
  <c r="E286"/>
  <c r="G86" i="8849"/>
  <c r="H73"/>
  <c r="G160" i="8848"/>
  <c r="H160"/>
  <c r="G117"/>
  <c r="H117"/>
  <c r="H74"/>
  <c r="G124" i="8841"/>
  <c r="H79"/>
  <c r="G123"/>
  <c r="H78"/>
  <c r="G84" i="8849"/>
  <c r="H71"/>
  <c r="J216" i="8858"/>
  <c r="K216"/>
  <c r="I217"/>
  <c r="E213"/>
  <c r="I263"/>
  <c r="J262"/>
  <c r="K262"/>
  <c r="E259"/>
  <c r="G152" i="8849"/>
  <c r="H152"/>
  <c r="H156"/>
  <c r="F153"/>
  <c r="F156"/>
  <c r="H111"/>
  <c r="H115"/>
  <c r="F112"/>
  <c r="F115"/>
  <c r="G158" i="8848"/>
  <c r="H158"/>
  <c r="G115"/>
  <c r="H115"/>
  <c r="H72"/>
  <c r="G135"/>
  <c r="H135"/>
  <c r="H139"/>
  <c r="F138"/>
  <c r="F139"/>
  <c r="K139"/>
  <c r="G92"/>
  <c r="H92"/>
  <c r="H96"/>
  <c r="F95"/>
  <c r="F96"/>
  <c r="K96"/>
  <c r="H49"/>
  <c r="H53"/>
  <c r="F52"/>
  <c r="F53"/>
  <c r="K53"/>
  <c r="G93" i="8841"/>
  <c r="H48"/>
  <c r="G119"/>
  <c r="H74"/>
  <c r="H86"/>
  <c r="J119" i="8850"/>
  <c r="I149"/>
  <c r="J149"/>
  <c r="J129"/>
  <c r="E103" i="8841"/>
  <c r="F103"/>
  <c r="F105"/>
  <c r="E148"/>
  <c r="F148"/>
  <c r="F150"/>
  <c r="H86" i="8856"/>
  <c r="H129"/>
  <c r="J99" i="8850"/>
  <c r="F87" i="8841"/>
  <c r="F81" i="8848"/>
  <c r="F124"/>
  <c r="F167"/>
  <c r="E130" i="8850"/>
  <c r="F112"/>
  <c r="G61" i="8834"/>
  <c r="K61"/>
  <c r="K69"/>
  <c r="K71"/>
  <c r="E178" i="8849"/>
  <c r="F178"/>
  <c r="F137"/>
  <c r="H79"/>
  <c r="K79"/>
  <c r="A80"/>
  <c r="F25"/>
  <c r="I296" i="8858"/>
  <c r="I149"/>
  <c r="I250"/>
  <c r="E61" i="8834"/>
  <c r="F131" i="8841"/>
  <c r="E151" i="8850"/>
  <c r="F151"/>
  <c r="F131"/>
  <c r="F96"/>
  <c r="K96"/>
  <c r="G37" i="8825"/>
  <c r="K37"/>
  <c r="K43"/>
  <c r="E132" i="8850"/>
  <c r="F114"/>
  <c r="E138" i="8849"/>
  <c r="F99"/>
  <c r="F105"/>
  <c r="I37" i="8825"/>
  <c r="G69" i="8834"/>
  <c r="G71"/>
  <c r="G43" i="8825"/>
  <c r="G46"/>
  <c r="F168" i="8848"/>
  <c r="K168"/>
  <c r="F125"/>
  <c r="K125"/>
  <c r="F82"/>
  <c r="K82"/>
  <c r="H130" i="8856"/>
  <c r="K130"/>
  <c r="F23"/>
  <c r="K129"/>
  <c r="H87"/>
  <c r="K87"/>
  <c r="F22"/>
  <c r="K86"/>
  <c r="K150" i="8841"/>
  <c r="F177"/>
  <c r="K105"/>
  <c r="F132"/>
  <c r="K86"/>
  <c r="G164"/>
  <c r="H164"/>
  <c r="H119"/>
  <c r="H52"/>
  <c r="I51"/>
  <c r="J51"/>
  <c r="J52"/>
  <c r="J87"/>
  <c r="G138"/>
  <c r="H138"/>
  <c r="H93"/>
  <c r="K115" i="8849"/>
  <c r="K156"/>
  <c r="E262" i="8858"/>
  <c r="K263"/>
  <c r="K279"/>
  <c r="K299"/>
  <c r="H277"/>
  <c r="I277"/>
  <c r="H231"/>
  <c r="I231"/>
  <c r="K217"/>
  <c r="K233"/>
  <c r="K253"/>
  <c r="E216"/>
  <c r="G97" i="8849"/>
  <c r="H84"/>
  <c r="G168" i="8841"/>
  <c r="H168"/>
  <c r="H123"/>
  <c r="G169"/>
  <c r="H169"/>
  <c r="H124"/>
  <c r="G99" i="8849"/>
  <c r="H86"/>
  <c r="E296" i="8858"/>
  <c r="I207"/>
  <c r="E192"/>
  <c r="E207"/>
  <c r="F21"/>
  <c r="I163"/>
  <c r="E149"/>
  <c r="E163"/>
  <c r="F20"/>
  <c r="I120"/>
  <c r="E106"/>
  <c r="E120"/>
  <c r="F19"/>
  <c r="I77"/>
  <c r="E62"/>
  <c r="E77"/>
  <c r="F18"/>
  <c r="G114" i="8850"/>
  <c r="H94"/>
  <c r="K94"/>
  <c r="E250" i="8858"/>
  <c r="G112" i="8850"/>
  <c r="H92"/>
  <c r="K92"/>
  <c r="G113"/>
  <c r="H93"/>
  <c r="K93"/>
  <c r="G166" i="8841"/>
  <c r="H166"/>
  <c r="H121"/>
  <c r="I92" i="8825"/>
  <c r="E89"/>
  <c r="I71" i="8834"/>
  <c r="E69"/>
  <c r="E71"/>
  <c r="G21" i="8820"/>
  <c r="I35" i="8834"/>
  <c r="E33"/>
  <c r="E35"/>
  <c r="G20" i="8820"/>
  <c r="I97"/>
  <c r="E90"/>
  <c r="E97"/>
  <c r="G19"/>
  <c r="I67"/>
  <c r="E61"/>
  <c r="E67"/>
  <c r="G18"/>
  <c r="E181" i="8825"/>
  <c r="I184"/>
  <c r="E135"/>
  <c r="I138"/>
  <c r="E105" i="8834"/>
  <c r="E107"/>
  <c r="I107"/>
  <c r="I179" i="8849"/>
  <c r="J179"/>
  <c r="J184"/>
  <c r="J186"/>
  <c r="J138"/>
  <c r="J143"/>
  <c r="J145"/>
  <c r="E56" i="8825"/>
  <c r="K57"/>
  <c r="K92"/>
  <c r="K10"/>
  <c r="K46"/>
  <c r="E9"/>
  <c r="K149"/>
  <c r="K184"/>
  <c r="E148"/>
  <c r="K103"/>
  <c r="K138"/>
  <c r="E102"/>
  <c r="K74" i="8850"/>
  <c r="F80"/>
  <c r="H81"/>
  <c r="G111"/>
  <c r="H91"/>
  <c r="G148"/>
  <c r="H148"/>
  <c r="K148"/>
  <c r="H128"/>
  <c r="K128"/>
  <c r="G147"/>
  <c r="H147"/>
  <c r="K147"/>
  <c r="H127"/>
  <c r="K127"/>
  <c r="K108"/>
  <c r="G146"/>
  <c r="H146"/>
  <c r="H126"/>
  <c r="I152"/>
  <c r="J152"/>
  <c r="J132"/>
  <c r="I151"/>
  <c r="J151"/>
  <c r="J131"/>
  <c r="I150"/>
  <c r="J150"/>
  <c r="J130"/>
  <c r="H80" i="8848"/>
  <c r="H123"/>
  <c r="H166"/>
  <c r="E57" i="8825"/>
  <c r="E10"/>
  <c r="E149"/>
  <c r="E103"/>
  <c r="E150" i="8850"/>
  <c r="F150"/>
  <c r="F130"/>
  <c r="E37" i="8825"/>
  <c r="I43"/>
  <c r="E179" i="8849"/>
  <c r="F179"/>
  <c r="F184"/>
  <c r="F186"/>
  <c r="F138"/>
  <c r="F143"/>
  <c r="F145"/>
  <c r="E152" i="8850"/>
  <c r="F152"/>
  <c r="F132"/>
  <c r="F116"/>
  <c r="K116"/>
  <c r="E263" i="8858"/>
  <c r="F99" i="8850"/>
  <c r="H167" i="8848"/>
  <c r="K166"/>
  <c r="H124"/>
  <c r="K123"/>
  <c r="H81"/>
  <c r="K80"/>
  <c r="K126" i="8850"/>
  <c r="K146"/>
  <c r="K91"/>
  <c r="K99"/>
  <c r="A100"/>
  <c r="F25"/>
  <c r="H99"/>
  <c r="G129"/>
  <c r="H111"/>
  <c r="K80"/>
  <c r="F81"/>
  <c r="G22" i="8820"/>
  <c r="F18"/>
  <c r="I18"/>
  <c r="H18"/>
  <c r="F19"/>
  <c r="I19"/>
  <c r="H19"/>
  <c r="F20"/>
  <c r="I20"/>
  <c r="H20"/>
  <c r="F21"/>
  <c r="I21"/>
  <c r="H21"/>
  <c r="G131" i="8850"/>
  <c r="H113"/>
  <c r="K113"/>
  <c r="G130"/>
  <c r="H112"/>
  <c r="K112"/>
  <c r="G132"/>
  <c r="H114"/>
  <c r="K114"/>
  <c r="G138" i="8849"/>
  <c r="H99"/>
  <c r="G136"/>
  <c r="H97"/>
  <c r="H105"/>
  <c r="K105"/>
  <c r="A106"/>
  <c r="F27"/>
  <c r="E231" i="8858"/>
  <c r="I232"/>
  <c r="I233"/>
  <c r="I253"/>
  <c r="E277"/>
  <c r="I278"/>
  <c r="I279"/>
  <c r="I299"/>
  <c r="H97" i="8841"/>
  <c r="I96"/>
  <c r="J96"/>
  <c r="J97"/>
  <c r="J132"/>
  <c r="H142"/>
  <c r="I141"/>
  <c r="J141"/>
  <c r="J142"/>
  <c r="J177"/>
  <c r="K81" i="8850"/>
  <c r="A82"/>
  <c r="F24"/>
  <c r="E138" i="8825"/>
  <c r="E184"/>
  <c r="E92"/>
  <c r="H92" i="8849"/>
  <c r="K92"/>
  <c r="A93"/>
  <c r="F26"/>
  <c r="E217" i="8858"/>
  <c r="K52" i="8841"/>
  <c r="K87"/>
  <c r="F22"/>
  <c r="H131"/>
  <c r="H176"/>
  <c r="H87"/>
  <c r="J157" i="8850"/>
  <c r="J137"/>
  <c r="F154"/>
  <c r="K154"/>
  <c r="F119"/>
  <c r="E43" i="8825"/>
  <c r="E46"/>
  <c r="I46"/>
  <c r="F134" i="8850"/>
  <c r="K134"/>
  <c r="H177" i="8841"/>
  <c r="K176"/>
  <c r="H132"/>
  <c r="K131"/>
  <c r="G24" i="8820"/>
  <c r="G23"/>
  <c r="G26"/>
  <c r="G25"/>
  <c r="E278" i="8858"/>
  <c r="E299"/>
  <c r="F23"/>
  <c r="E232"/>
  <c r="E253"/>
  <c r="F22"/>
  <c r="G177" i="8849"/>
  <c r="H177"/>
  <c r="H136"/>
  <c r="G179"/>
  <c r="H179"/>
  <c r="H138"/>
  <c r="G152" i="8850"/>
  <c r="H152"/>
  <c r="K152"/>
  <c r="H132"/>
  <c r="K132"/>
  <c r="G150"/>
  <c r="H150"/>
  <c r="K150"/>
  <c r="H130"/>
  <c r="K130"/>
  <c r="G151"/>
  <c r="H151"/>
  <c r="K151"/>
  <c r="H131"/>
  <c r="K131"/>
  <c r="I22" i="8820"/>
  <c r="H22"/>
  <c r="F22"/>
  <c r="K111" i="8850"/>
  <c r="H119"/>
  <c r="K119"/>
  <c r="A120"/>
  <c r="F26"/>
  <c r="G149"/>
  <c r="H149"/>
  <c r="H129"/>
  <c r="F83" i="8848"/>
  <c r="H85"/>
  <c r="K81"/>
  <c r="F126"/>
  <c r="H128"/>
  <c r="K124"/>
  <c r="F169"/>
  <c r="H171"/>
  <c r="K167"/>
  <c r="K142" i="8841"/>
  <c r="K97"/>
  <c r="F137" i="8850"/>
  <c r="F157"/>
  <c r="K169" i="8848"/>
  <c r="F171"/>
  <c r="K171"/>
  <c r="F24"/>
  <c r="K126"/>
  <c r="F128"/>
  <c r="K128"/>
  <c r="F23"/>
  <c r="K83"/>
  <c r="F85"/>
  <c r="K129" i="8850"/>
  <c r="H137"/>
  <c r="K137"/>
  <c r="A138"/>
  <c r="F27"/>
  <c r="K149"/>
  <c r="H157"/>
  <c r="K157"/>
  <c r="A158"/>
  <c r="F28"/>
  <c r="I25" i="8820"/>
  <c r="H25"/>
  <c r="F25"/>
  <c r="I26"/>
  <c r="H26"/>
  <c r="F26"/>
  <c r="I23"/>
  <c r="H23"/>
  <c r="F23"/>
  <c r="I24"/>
  <c r="H24"/>
  <c r="F24"/>
  <c r="K85" i="8848"/>
  <c r="F22"/>
  <c r="H143" i="8849"/>
  <c r="H184"/>
  <c r="E233" i="8858"/>
  <c r="E279"/>
  <c r="K132" i="8841"/>
  <c r="F23"/>
  <c r="K177"/>
  <c r="F24"/>
  <c r="H186" i="8849"/>
  <c r="K186"/>
  <c r="A187"/>
  <c r="F29"/>
  <c r="K184"/>
  <c r="H145"/>
  <c r="K143"/>
  <c r="K145"/>
  <c r="A146"/>
  <c r="F28"/>
</calcChain>
</file>

<file path=xl/comments1.xml><?xml version="1.0" encoding="utf-8"?>
<comments xmlns="http://schemas.openxmlformats.org/spreadsheetml/2006/main">
  <authors>
    <author>a</author>
  </authors>
  <commentList>
    <comment ref="A31" authorId="0">
      <text>
        <r>
          <rPr>
            <b/>
            <sz val="9"/>
            <color indexed="81"/>
            <rFont val="굴림"/>
            <family val="3"/>
            <charset val="129"/>
          </rPr>
          <t>a:</t>
        </r>
        <r>
          <rPr>
            <sz val="9"/>
            <color indexed="81"/>
            <rFont val="굴림"/>
            <family val="3"/>
            <charset val="129"/>
          </rPr>
          <t xml:space="preserve">
중기 2007미적용</t>
        </r>
      </text>
    </comment>
  </commentList>
</comments>
</file>

<file path=xl/comments2.xml><?xml version="1.0" encoding="utf-8"?>
<comments xmlns="http://schemas.openxmlformats.org/spreadsheetml/2006/main">
  <authors>
    <author>a</author>
  </authors>
  <commentList>
    <comment ref="A74" authorId="0">
      <text>
        <r>
          <rPr>
            <b/>
            <sz val="9"/>
            <color indexed="81"/>
            <rFont val="굴림"/>
            <family val="3"/>
            <charset val="129"/>
          </rPr>
          <t>a:</t>
        </r>
        <r>
          <rPr>
            <sz val="9"/>
            <color indexed="81"/>
            <rFont val="굴림"/>
            <family val="3"/>
            <charset val="129"/>
          </rPr>
          <t xml:space="preserve">
중기 2007미적용</t>
        </r>
      </text>
    </comment>
  </commentList>
</comments>
</file>

<file path=xl/comments3.xml><?xml version="1.0" encoding="utf-8"?>
<comments xmlns="http://schemas.openxmlformats.org/spreadsheetml/2006/main">
  <authors>
    <author>COMPRO</author>
  </authors>
  <commentList>
    <comment ref="D25" authorId="0">
      <text>
        <r>
          <rPr>
            <b/>
            <sz val="9"/>
            <color indexed="81"/>
            <rFont val="굴림"/>
            <family val="3"/>
            <charset val="129"/>
          </rPr>
          <t>COMPRO:</t>
        </r>
        <r>
          <rPr>
            <sz val="9"/>
            <color indexed="81"/>
            <rFont val="굴림"/>
            <family val="3"/>
            <charset val="129"/>
          </rPr>
          <t xml:space="preserve">
중량22.68kg
목분화이버</t>
        </r>
      </text>
    </comment>
    <comment ref="H25" authorId="0">
      <text>
        <r>
          <rPr>
            <b/>
            <sz val="9"/>
            <color indexed="81"/>
            <rFont val="굴림"/>
            <family val="3"/>
            <charset val="129"/>
          </rPr>
          <t>COMPRO:</t>
        </r>
        <r>
          <rPr>
            <sz val="9"/>
            <color indexed="81"/>
            <rFont val="굴림"/>
            <family val="3"/>
            <charset val="129"/>
          </rPr>
          <t xml:space="preserve">
중량22.68kg
제지펄프</t>
        </r>
      </text>
    </comment>
    <comment ref="D27" authorId="0">
      <text>
        <r>
          <rPr>
            <b/>
            <sz val="9"/>
            <color indexed="81"/>
            <rFont val="굴림"/>
            <family val="3"/>
            <charset val="129"/>
          </rPr>
          <t>COMPRO:</t>
        </r>
        <r>
          <rPr>
            <sz val="9"/>
            <color indexed="81"/>
            <rFont val="굴림"/>
            <family val="3"/>
            <charset val="129"/>
          </rPr>
          <t xml:space="preserve">
중량 25kg</t>
        </r>
      </text>
    </comment>
  </commentList>
</comments>
</file>

<file path=xl/comments4.xml><?xml version="1.0" encoding="utf-8"?>
<comments xmlns="http://schemas.openxmlformats.org/spreadsheetml/2006/main">
  <authors>
    <author>a</author>
  </authors>
  <commentList>
    <comment ref="A1" authorId="0">
      <text>
        <r>
          <rPr>
            <b/>
            <sz val="9"/>
            <color indexed="81"/>
            <rFont val="굴림"/>
            <family val="3"/>
            <charset val="129"/>
          </rPr>
          <t>a:</t>
        </r>
        <r>
          <rPr>
            <sz val="9"/>
            <color indexed="81"/>
            <rFont val="굴림"/>
            <family val="3"/>
            <charset val="129"/>
          </rPr>
          <t xml:space="preserve">
2007중기가격수정적용</t>
        </r>
      </text>
    </comment>
  </commentList>
</comments>
</file>

<file path=xl/comments5.xml><?xml version="1.0" encoding="utf-8"?>
<comments xmlns="http://schemas.openxmlformats.org/spreadsheetml/2006/main">
  <authors>
    <author>a</author>
  </authors>
  <commentList>
    <comment ref="A80" authorId="0">
      <text>
        <r>
          <rPr>
            <b/>
            <sz val="9"/>
            <color indexed="81"/>
            <rFont val="굴림"/>
            <family val="3"/>
            <charset val="129"/>
          </rPr>
          <t>a:</t>
        </r>
        <r>
          <rPr>
            <sz val="9"/>
            <color indexed="81"/>
            <rFont val="굴림"/>
            <family val="3"/>
            <charset val="129"/>
          </rPr>
          <t xml:space="preserve">
2005년 중기가격임</t>
        </r>
      </text>
    </comment>
    <comment ref="A117" authorId="0">
      <text>
        <r>
          <rPr>
            <b/>
            <sz val="9"/>
            <color indexed="81"/>
            <rFont val="굴림"/>
            <family val="3"/>
            <charset val="129"/>
          </rPr>
          <t>a:</t>
        </r>
        <r>
          <rPr>
            <sz val="9"/>
            <color indexed="81"/>
            <rFont val="굴림"/>
            <family val="3"/>
            <charset val="129"/>
          </rPr>
          <t xml:space="preserve">
중기 미적용 2005년임
</t>
        </r>
      </text>
    </comment>
  </commentList>
</comments>
</file>

<file path=xl/sharedStrings.xml><?xml version="1.0" encoding="utf-8"?>
<sst xmlns="http://schemas.openxmlformats.org/spreadsheetml/2006/main" count="9506" uniqueCount="2264">
  <si>
    <t>이지그린매트 C형</t>
    <phoneticPr fontId="69" type="noConversion"/>
  </si>
  <si>
    <t>C 형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</si>
  <si>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</si>
  <si>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</si>
  <si>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</si>
  <si>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</si>
  <si>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</si>
  <si>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</si>
  <si>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</si>
  <si>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</si>
  <si>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</si>
  <si>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</si>
  <si>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G</t>
    <phoneticPr fontId="3" type="noConversion"/>
  </si>
  <si>
    <t>잡재료비</t>
    <phoneticPr fontId="3" type="noConversion"/>
  </si>
  <si>
    <t>%</t>
    <phoneticPr fontId="3" type="noConversion"/>
  </si>
  <si>
    <t>HR</t>
    <phoneticPr fontId="3" type="noConversion"/>
  </si>
  <si>
    <t>공기압축기</t>
    <phoneticPr fontId="3" type="noConversion"/>
  </si>
  <si>
    <t>발 전 기</t>
    <phoneticPr fontId="3" type="noConversion"/>
  </si>
  <si>
    <t>물 탱 크</t>
    <phoneticPr fontId="3" type="noConversion"/>
  </si>
  <si>
    <t>5,500L</t>
    <phoneticPr fontId="3" type="noConversion"/>
  </si>
  <si>
    <t>작업반장</t>
    <phoneticPr fontId="3" type="noConversion"/>
  </si>
  <si>
    <t>인</t>
    <phoneticPr fontId="3" type="noConversion"/>
  </si>
  <si>
    <t>특별인부</t>
    <phoneticPr fontId="3" type="noConversion"/>
  </si>
  <si>
    <t>기 계 공</t>
    <phoneticPr fontId="3" type="noConversion"/>
  </si>
  <si>
    <t>보통인부</t>
    <phoneticPr fontId="3" type="noConversion"/>
  </si>
  <si>
    <t>기구손료</t>
    <phoneticPr fontId="3" type="noConversion"/>
  </si>
  <si>
    <t>소    계</t>
    <phoneticPr fontId="3" type="noConversion"/>
  </si>
  <si>
    <t>총    계</t>
    <phoneticPr fontId="3" type="noConversion"/>
  </si>
  <si>
    <t>M2</t>
    <phoneticPr fontId="3" type="noConversion"/>
  </si>
  <si>
    <t>100KW</t>
    <phoneticPr fontId="8" type="noConversion"/>
  </si>
  <si>
    <t>드릴비트및손료</t>
    <phoneticPr fontId="8" type="noConversion"/>
  </si>
  <si>
    <t>D16-250mm</t>
    <phoneticPr fontId="3" type="noConversion"/>
  </si>
  <si>
    <t>#8,PVC코팅</t>
    <phoneticPr fontId="8" type="noConversion"/>
  </si>
  <si>
    <t>양생제</t>
    <phoneticPr fontId="3" type="noConversion"/>
  </si>
  <si>
    <t>침식방지제</t>
    <phoneticPr fontId="3" type="noConversion"/>
  </si>
  <si>
    <t>구조형성</t>
    <phoneticPr fontId="3" type="noConversion"/>
  </si>
  <si>
    <t>6종혼합</t>
    <phoneticPr fontId="3" type="noConversion"/>
  </si>
  <si>
    <t>재료비의</t>
    <phoneticPr fontId="3" type="noConversion"/>
  </si>
  <si>
    <t>발 전 기</t>
    <phoneticPr fontId="3" type="noConversion"/>
  </si>
  <si>
    <t>100KW</t>
    <phoneticPr fontId="3" type="noConversion"/>
  </si>
  <si>
    <t>6.0 TON</t>
    <phoneticPr fontId="3" type="noConversion"/>
  </si>
  <si>
    <t>자연생태복원(JSB)공[철망 7Cm]</t>
    <phoneticPr fontId="3" type="noConversion"/>
  </si>
  <si>
    <t>D16-350mm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</si>
  <si>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</si>
  <si>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</si>
  <si>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</si>
  <si>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</si>
  <si>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</si>
  <si>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</si>
  <si>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</si>
  <si>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</si>
  <si>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</si>
  <si>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</si>
  <si>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</si>
  <si>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HR</t>
    <phoneticPr fontId="3" type="noConversion"/>
  </si>
  <si>
    <t>인</t>
    <phoneticPr fontId="3" type="noConversion"/>
  </si>
  <si>
    <t>노무비의</t>
    <phoneticPr fontId="3" type="noConversion"/>
  </si>
  <si>
    <t>%</t>
    <phoneticPr fontId="3" type="noConversion"/>
  </si>
  <si>
    <t>소    계</t>
    <phoneticPr fontId="3" type="noConversion"/>
  </si>
  <si>
    <t>특별인부</t>
    <phoneticPr fontId="3" type="noConversion"/>
  </si>
  <si>
    <t>보통인부</t>
    <phoneticPr fontId="3" type="noConversion"/>
  </si>
  <si>
    <t>작업반장</t>
    <phoneticPr fontId="3" type="noConversion"/>
  </si>
  <si>
    <t>녹화기반제</t>
    <phoneticPr fontId="3" type="noConversion"/>
  </si>
  <si>
    <t>유기질토양</t>
    <phoneticPr fontId="3" type="noConversion"/>
  </si>
  <si>
    <t>L</t>
    <phoneticPr fontId="3" type="noConversion"/>
  </si>
  <si>
    <t>양생제</t>
    <phoneticPr fontId="3" type="noConversion"/>
  </si>
  <si>
    <t>섬유소</t>
    <phoneticPr fontId="3" type="noConversion"/>
  </si>
  <si>
    <t>안정제</t>
    <phoneticPr fontId="3" type="noConversion"/>
  </si>
  <si>
    <t>침식방지제</t>
    <phoneticPr fontId="3" type="noConversion"/>
  </si>
  <si>
    <t>KG</t>
    <phoneticPr fontId="3" type="noConversion"/>
  </si>
  <si>
    <t>단립제</t>
    <phoneticPr fontId="3" type="noConversion"/>
  </si>
  <si>
    <t>구조형성</t>
    <phoneticPr fontId="3" type="noConversion"/>
  </si>
  <si>
    <t>종  자</t>
    <phoneticPr fontId="3" type="noConversion"/>
  </si>
  <si>
    <t>6종혼합</t>
    <phoneticPr fontId="3" type="noConversion"/>
  </si>
  <si>
    <t>G</t>
    <phoneticPr fontId="3" type="noConversion"/>
  </si>
  <si>
    <t>잡재료비</t>
    <phoneticPr fontId="3" type="noConversion"/>
  </si>
  <si>
    <t>재료비의</t>
    <phoneticPr fontId="3" type="noConversion"/>
  </si>
  <si>
    <t>취부기</t>
    <phoneticPr fontId="3" type="noConversion"/>
  </si>
  <si>
    <t>25 L</t>
    <phoneticPr fontId="3" type="noConversion"/>
  </si>
  <si>
    <t>공기압축기</t>
    <phoneticPr fontId="3" type="noConversion"/>
  </si>
  <si>
    <t>17M3/MIN</t>
    <phoneticPr fontId="3" type="noConversion"/>
  </si>
  <si>
    <t>발 전 기</t>
    <phoneticPr fontId="3" type="noConversion"/>
  </si>
  <si>
    <t>100KW</t>
    <phoneticPr fontId="3" type="noConversion"/>
  </si>
  <si>
    <t>트러탑재크레인</t>
    <phoneticPr fontId="3" type="noConversion"/>
  </si>
  <si>
    <t>5.0 TON</t>
    <phoneticPr fontId="3" type="noConversion"/>
  </si>
  <si>
    <t>물 탱 크</t>
    <phoneticPr fontId="3" type="noConversion"/>
  </si>
  <si>
    <t>5,500L</t>
    <phoneticPr fontId="3" type="noConversion"/>
  </si>
  <si>
    <t>덤프트럭</t>
    <phoneticPr fontId="3" type="noConversion"/>
  </si>
  <si>
    <t>6.0 TON</t>
    <phoneticPr fontId="3" type="noConversion"/>
  </si>
  <si>
    <t>기 계 공</t>
    <phoneticPr fontId="3" type="noConversion"/>
  </si>
  <si>
    <t>기구손료</t>
    <phoneticPr fontId="3" type="noConversion"/>
  </si>
  <si>
    <t>* 수직고 20M 이하, 면적1000m2 이상 기준임.</t>
    <phoneticPr fontId="3" type="noConversion"/>
  </si>
  <si>
    <t>총    계</t>
    <phoneticPr fontId="3" type="noConversion"/>
  </si>
  <si>
    <t>자재단가 산출근거</t>
    <phoneticPr fontId="3" type="noConversion"/>
  </si>
  <si>
    <t>품          명</t>
    <phoneticPr fontId="3" type="noConversion"/>
  </si>
  <si>
    <t>규     격</t>
    <phoneticPr fontId="3" type="noConversion"/>
  </si>
  <si>
    <t>물가자료(2009년 1월)</t>
    <phoneticPr fontId="3" type="noConversion"/>
  </si>
  <si>
    <t>적 용 단 가</t>
    <phoneticPr fontId="3" type="noConversion"/>
  </si>
  <si>
    <t>단     가</t>
    <phoneticPr fontId="3" type="noConversion"/>
  </si>
  <si>
    <t>PAGE</t>
    <phoneticPr fontId="3" type="noConversion"/>
  </si>
  <si>
    <t>인    공    토</t>
    <phoneticPr fontId="3" type="noConversion"/>
  </si>
  <si>
    <t>종          자</t>
    <phoneticPr fontId="3" type="noConversion"/>
  </si>
  <si>
    <t>앙    카    핀</t>
    <phoneticPr fontId="3" type="noConversion"/>
  </si>
  <si>
    <t>φ19 × L600</t>
    <phoneticPr fontId="3" type="noConversion"/>
  </si>
  <si>
    <t>착    지    핀</t>
    <phoneticPr fontId="3" type="noConversion"/>
  </si>
  <si>
    <t>φ16 × L400</t>
    <phoneticPr fontId="3" type="noConversion"/>
  </si>
  <si>
    <t>부    착    망</t>
    <phoneticPr fontId="3" type="noConversion"/>
  </si>
  <si>
    <t>#10×58×58</t>
    <phoneticPr fontId="3" type="noConversion"/>
  </si>
  <si>
    <t>와이어 로프</t>
    <phoneticPr fontId="3" type="noConversion"/>
  </si>
  <si>
    <t>φ9㎜</t>
    <phoneticPr fontId="3" type="noConversion"/>
  </si>
  <si>
    <t>와이어로프클립</t>
    <phoneticPr fontId="3" type="noConversion"/>
  </si>
  <si>
    <t>2008년 노무비 산출근거</t>
    <phoneticPr fontId="3" type="noConversion"/>
  </si>
  <si>
    <t>품      명</t>
    <phoneticPr fontId="3" type="noConversion"/>
  </si>
  <si>
    <t>2009 상반기</t>
    <phoneticPr fontId="3" type="noConversion"/>
  </si>
  <si>
    <t>2008 하반기</t>
    <phoneticPr fontId="3" type="noConversion"/>
  </si>
  <si>
    <t>적  용  가</t>
    <phoneticPr fontId="3" type="noConversion"/>
  </si>
  <si>
    <t>적   용   기   준</t>
    <phoneticPr fontId="3" type="noConversion"/>
  </si>
  <si>
    <t>◇ 환   율</t>
    <phoneticPr fontId="3" type="noConversion"/>
  </si>
  <si>
    <t>1달러 ($) :</t>
    <phoneticPr fontId="3" type="noConversion"/>
  </si>
  <si>
    <t>원</t>
    <phoneticPr fontId="3" type="noConversion"/>
  </si>
  <si>
    <t>◇ 유 류 대</t>
    <phoneticPr fontId="3" type="noConversion"/>
  </si>
  <si>
    <t>휘  발  유 :</t>
    <phoneticPr fontId="3" type="noConversion"/>
  </si>
  <si>
    <t>ℓ/원</t>
    <phoneticPr fontId="3" type="noConversion"/>
  </si>
  <si>
    <t>경      유 :</t>
    <phoneticPr fontId="3" type="noConversion"/>
  </si>
  <si>
    <t>◇ 노 무 비</t>
    <phoneticPr fontId="3" type="noConversion"/>
  </si>
  <si>
    <t>건설기계운전기사</t>
    <phoneticPr fontId="3" type="noConversion"/>
  </si>
  <si>
    <t xml:space="preserve">: 95,508 ×16/12 ×1/8 ×25/20 = </t>
    <phoneticPr fontId="3" type="noConversion"/>
  </si>
  <si>
    <t>운전사(운반차)</t>
    <phoneticPr fontId="3" type="noConversion"/>
  </si>
  <si>
    <t xml:space="preserve">: 79,737 ×16/12 ×1/8 ×25/20 = </t>
    <phoneticPr fontId="3" type="noConversion"/>
  </si>
  <si>
    <t>운전사(기 계)</t>
    <phoneticPr fontId="3" type="noConversion"/>
  </si>
  <si>
    <t xml:space="preserve">: 69,388 ×16/12 ×1/8 ×25/20 =  </t>
    <phoneticPr fontId="3" type="noConversion"/>
  </si>
  <si>
    <t>건설기계운전조수</t>
    <phoneticPr fontId="3" type="noConversion"/>
  </si>
  <si>
    <t xml:space="preserve">: 53,053 ×16/12 ×1/8 ×25/20 =  </t>
    <phoneticPr fontId="3" type="noConversion"/>
  </si>
  <si>
    <t>건설기계조장</t>
    <phoneticPr fontId="3" type="noConversion"/>
  </si>
  <si>
    <t xml:space="preserve">: 92,297 ×16/12 ×1/8 ×25/20 = </t>
    <phoneticPr fontId="3" type="noConversion"/>
  </si>
  <si>
    <t>중   기   명 : 발전기(50㎾)</t>
    <phoneticPr fontId="3" type="noConversion"/>
  </si>
  <si>
    <t>중 기  가 격 :  16,360천원</t>
    <phoneticPr fontId="3" type="noConversion"/>
  </si>
  <si>
    <t>항   목</t>
    <phoneticPr fontId="3" type="noConversion"/>
  </si>
  <si>
    <t>구        분</t>
    <phoneticPr fontId="3" type="noConversion"/>
  </si>
  <si>
    <t>수    량</t>
    <phoneticPr fontId="3" type="noConversion"/>
  </si>
  <si>
    <t>단 위</t>
    <phoneticPr fontId="3" type="noConversion"/>
  </si>
  <si>
    <t>금       액</t>
    <phoneticPr fontId="3" type="noConversion"/>
  </si>
  <si>
    <t>경        유</t>
    <phoneticPr fontId="3" type="noConversion"/>
  </si>
  <si>
    <t>ℓ</t>
    <phoneticPr fontId="3" type="noConversion"/>
  </si>
  <si>
    <t>잡        품</t>
    <phoneticPr fontId="3" type="noConversion"/>
  </si>
  <si>
    <t>소       계</t>
    <phoneticPr fontId="3" type="noConversion"/>
  </si>
  <si>
    <t>운전사(기  계))</t>
    <phoneticPr fontId="3" type="noConversion"/>
  </si>
  <si>
    <t>기 계 손 료</t>
    <phoneticPr fontId="3" type="noConversion"/>
  </si>
  <si>
    <t>합   계</t>
    <phoneticPr fontId="3" type="noConversion"/>
  </si>
  <si>
    <t>중   기   명 : 트럭탑재형크레인(5TON)</t>
    <phoneticPr fontId="3" type="noConversion"/>
  </si>
  <si>
    <t>중 기  가 격 :  41,399천원</t>
    <phoneticPr fontId="3" type="noConversion"/>
  </si>
  <si>
    <t>중   기   명 : 믹 서 (0.45㎥)</t>
    <phoneticPr fontId="3" type="noConversion"/>
  </si>
  <si>
    <t xml:space="preserve">중 기  가 격 :  17,592천원  (13,990$)      </t>
    <phoneticPr fontId="3" type="noConversion"/>
  </si>
  <si>
    <t>휘   발   유</t>
    <phoneticPr fontId="3" type="noConversion"/>
  </si>
  <si>
    <t>잡       품</t>
    <phoneticPr fontId="3" type="noConversion"/>
  </si>
  <si>
    <t>중   기   명 : 디젤엔진 (52.22KW)</t>
    <phoneticPr fontId="3" type="noConversion"/>
  </si>
  <si>
    <t xml:space="preserve">중 기  가 격 :  3,852천원       </t>
    <phoneticPr fontId="3" type="noConversion"/>
  </si>
  <si>
    <t>중   기   명 : 물탱크(5,500ℓ)</t>
    <phoneticPr fontId="3" type="noConversion"/>
  </si>
  <si>
    <t>중 기  가 격 : 38,257천원</t>
    <phoneticPr fontId="3" type="noConversion"/>
  </si>
  <si>
    <t>중   기   명 : 모노펌프(5∼20㎥)</t>
    <phoneticPr fontId="3" type="noConversion"/>
  </si>
  <si>
    <t xml:space="preserve">중 기  가 격 : 4,900천원    </t>
    <phoneticPr fontId="3" type="noConversion"/>
  </si>
  <si>
    <t>중      기      목      록</t>
    <phoneticPr fontId="3" type="noConversion"/>
  </si>
  <si>
    <t>중            기            명</t>
    <phoneticPr fontId="3" type="noConversion"/>
  </si>
  <si>
    <t>규                      격</t>
    <phoneticPr fontId="3" type="noConversion"/>
  </si>
  <si>
    <t>수 량</t>
    <phoneticPr fontId="3" type="noConversion"/>
  </si>
  <si>
    <t>재  료  비</t>
    <phoneticPr fontId="3" type="noConversion"/>
  </si>
  <si>
    <t>노  무  비</t>
    <phoneticPr fontId="3" type="noConversion"/>
  </si>
  <si>
    <t>경       비</t>
    <phoneticPr fontId="3" type="noConversion"/>
  </si>
  <si>
    <t>합         계</t>
    <phoneticPr fontId="3" type="noConversion"/>
  </si>
  <si>
    <t>비          고</t>
    <phoneticPr fontId="3" type="noConversion"/>
  </si>
  <si>
    <t>발            전            기</t>
    <phoneticPr fontId="3" type="noConversion"/>
  </si>
  <si>
    <t>트 럭 탑 재 형  크 레 인</t>
    <phoneticPr fontId="3" type="noConversion"/>
  </si>
  <si>
    <t>믹                          서</t>
    <phoneticPr fontId="3" type="noConversion"/>
  </si>
  <si>
    <t>디      젤       엔      진</t>
    <phoneticPr fontId="3" type="noConversion"/>
  </si>
  <si>
    <t>물            탱           크</t>
    <phoneticPr fontId="3" type="noConversion"/>
  </si>
  <si>
    <t>모      노       펌      프</t>
    <phoneticPr fontId="3" type="noConversion"/>
  </si>
  <si>
    <t>입단형성제</t>
    <phoneticPr fontId="53" type="noConversion"/>
  </si>
  <si>
    <t>표토구조형성</t>
    <phoneticPr fontId="53" type="noConversion"/>
  </si>
  <si>
    <t>생태숲복원공 (THK - 1 CM + 천연섬유망설치)  - 10 M2 당 -</t>
    <phoneticPr fontId="53" type="noConversion"/>
  </si>
  <si>
    <t>섬유망설치</t>
    <phoneticPr fontId="53" type="noConversion"/>
  </si>
  <si>
    <t>생태숲복원공 (THK - 3 CM + 철망설치)  - 10 M2 당 -</t>
    <phoneticPr fontId="53" type="noConversion"/>
  </si>
  <si>
    <t>철망설치</t>
    <phoneticPr fontId="53" type="noConversion"/>
  </si>
  <si>
    <t>EA</t>
    <phoneticPr fontId="3" type="noConversion"/>
  </si>
  <si>
    <t>4. 취 부 공</t>
    <phoneticPr fontId="3" type="noConversion"/>
  </si>
  <si>
    <t>텍솔녹화토  암절개면보호 일위대가표 (T=4cm)</t>
    <phoneticPr fontId="3" type="noConversion"/>
  </si>
  <si>
    <t>1. 앙카핀 및 착지핀 홀천공</t>
    <phoneticPr fontId="3" type="noConversion"/>
  </si>
  <si>
    <t>50KW</t>
    <phoneticPr fontId="3" type="noConversion"/>
  </si>
  <si>
    <t>착 암 공</t>
    <phoneticPr fontId="3" type="noConversion"/>
  </si>
  <si>
    <t>드릴및비트손료</t>
    <phoneticPr fontId="3" type="noConversion"/>
  </si>
  <si>
    <t>PHD38</t>
    <phoneticPr fontId="3" type="noConversion"/>
  </si>
  <si>
    <t>품2.5%</t>
    <phoneticPr fontId="3" type="noConversion"/>
  </si>
  <si>
    <t>2. 앙카핀 및 착지핀 설치</t>
    <phoneticPr fontId="3" type="noConversion"/>
  </si>
  <si>
    <t>앙 카 핀</t>
    <phoneticPr fontId="3" type="noConversion"/>
  </si>
  <si>
    <t>Ø19,L0.5</t>
    <phoneticPr fontId="3" type="noConversion"/>
  </si>
  <si>
    <t>착 지 핀</t>
    <phoneticPr fontId="3" type="noConversion"/>
  </si>
  <si>
    <t>Ø16,L0.35</t>
    <phoneticPr fontId="3" type="noConversion"/>
  </si>
  <si>
    <t>재료비의 %</t>
    <phoneticPr fontId="3" type="noConversion"/>
  </si>
  <si>
    <t>노무비의 %</t>
    <phoneticPr fontId="3" type="noConversion"/>
  </si>
  <si>
    <t>3. 부착망 설치</t>
    <phoneticPr fontId="3" type="noConversion"/>
  </si>
  <si>
    <t>부 착 망</t>
    <phoneticPr fontId="3" type="noConversion"/>
  </si>
  <si>
    <t>#10- 58*58</t>
    <phoneticPr fontId="3" type="noConversion"/>
  </si>
  <si>
    <t>철    선</t>
    <phoneticPr fontId="3" type="noConversion"/>
  </si>
  <si>
    <t>#8PVC코팅</t>
    <phoneticPr fontId="3" type="noConversion"/>
  </si>
  <si>
    <t>M</t>
    <phoneticPr fontId="3" type="noConversion"/>
  </si>
  <si>
    <t>녹 화 토</t>
    <phoneticPr fontId="3" type="noConversion"/>
  </si>
  <si>
    <t>M3</t>
    <phoneticPr fontId="3" type="noConversion"/>
  </si>
  <si>
    <t>종     자</t>
    <phoneticPr fontId="3" type="noConversion"/>
  </si>
  <si>
    <t>혼합잔디</t>
    <phoneticPr fontId="3" type="noConversion"/>
  </si>
  <si>
    <t>연속장섬유</t>
    <phoneticPr fontId="3" type="noConversion"/>
  </si>
  <si>
    <t>P.F.Y</t>
    <phoneticPr fontId="3" type="noConversion"/>
  </si>
  <si>
    <t>kg</t>
    <phoneticPr fontId="3" type="noConversion"/>
  </si>
  <si>
    <t>믹     서</t>
    <phoneticPr fontId="3" type="noConversion"/>
  </si>
  <si>
    <t>0.3 m3</t>
    <phoneticPr fontId="3" type="noConversion"/>
  </si>
  <si>
    <t>취 부 기</t>
    <phoneticPr fontId="3" type="noConversion"/>
  </si>
  <si>
    <t>16L</t>
    <phoneticPr fontId="3" type="noConversion"/>
  </si>
  <si>
    <t>17 m3/min</t>
    <phoneticPr fontId="3" type="noConversion"/>
  </si>
  <si>
    <t>크레인</t>
    <phoneticPr fontId="3" type="noConversion"/>
  </si>
  <si>
    <t>3TON</t>
    <phoneticPr fontId="3" type="noConversion"/>
  </si>
  <si>
    <t>고압펌프</t>
    <phoneticPr fontId="3" type="noConversion"/>
  </si>
  <si>
    <t>200 kg/cm2</t>
    <phoneticPr fontId="3" type="noConversion"/>
  </si>
  <si>
    <t>실사출기</t>
    <phoneticPr fontId="3" type="noConversion"/>
  </si>
  <si>
    <t>4 NOZZLE</t>
    <phoneticPr fontId="3" type="noConversion"/>
  </si>
  <si>
    <t>텍솔녹화토  암절개면보호 일위대가표 (T=8cm)</t>
    <phoneticPr fontId="3" type="noConversion"/>
  </si>
  <si>
    <t>5TON</t>
    <phoneticPr fontId="3" type="noConversion"/>
  </si>
  <si>
    <t>텍솔녹화토  암절개면보호 일위대가표 (T=12cm)</t>
    <phoneticPr fontId="3" type="noConversion"/>
  </si>
  <si>
    <t xml:space="preserve">㎥ </t>
  </si>
  <si>
    <t>향토초화목본5종</t>
  </si>
  <si>
    <t xml:space="preserve"> 일 위 대 가 표</t>
    <phoneticPr fontId="3" type="noConversion"/>
  </si>
  <si>
    <t>명     칭</t>
    <phoneticPr fontId="3" type="noConversion"/>
  </si>
  <si>
    <t>경   비</t>
    <phoneticPr fontId="3" type="noConversion"/>
  </si>
  <si>
    <t>비고</t>
    <phoneticPr fontId="3" type="noConversion"/>
  </si>
  <si>
    <t>친환경습식토양</t>
    <phoneticPr fontId="3" type="noConversion"/>
  </si>
  <si>
    <t>토양응집제</t>
    <phoneticPr fontId="3" type="noConversion"/>
  </si>
  <si>
    <t>g</t>
    <phoneticPr fontId="3" type="noConversion"/>
  </si>
  <si>
    <t>M</t>
    <phoneticPr fontId="3" type="noConversion"/>
  </si>
  <si>
    <t>종    자</t>
    <phoneticPr fontId="3" type="noConversion"/>
  </si>
  <si>
    <t>양잔디혼합3종</t>
    <phoneticPr fontId="3" type="noConversion"/>
  </si>
  <si>
    <t>향토초화목본5종</t>
    <phoneticPr fontId="3" type="noConversion"/>
  </si>
  <si>
    <t>비    료</t>
    <phoneticPr fontId="3" type="noConversion"/>
  </si>
  <si>
    <t>복합비료</t>
    <phoneticPr fontId="3" type="noConversion"/>
  </si>
  <si>
    <t>리뷰터3000ℓ개량형</t>
    <phoneticPr fontId="3" type="noConversion"/>
  </si>
  <si>
    <t>6TON</t>
    <phoneticPr fontId="3" type="noConversion"/>
  </si>
  <si>
    <t xml:space="preserve">소          계 </t>
    <phoneticPr fontId="3" type="noConversion"/>
  </si>
  <si>
    <t>재료비의3%</t>
    <phoneticPr fontId="3" type="noConversion"/>
  </si>
  <si>
    <t>기계손료</t>
    <phoneticPr fontId="3" type="noConversion"/>
  </si>
  <si>
    <t>노무비의2.5%</t>
    <phoneticPr fontId="3" type="noConversion"/>
  </si>
  <si>
    <t>합          계</t>
    <phoneticPr fontId="3" type="noConversion"/>
  </si>
  <si>
    <t>환경생태복원 MUDPACK [T=1cm]  ㎡ 당 [절토비탈면: 경사가완만한 마사토 및 자갈이 혼합된 토사지역]</t>
    <phoneticPr fontId="3" type="noConversion"/>
  </si>
  <si>
    <t>MUD토[ II호 ]</t>
    <phoneticPr fontId="3" type="noConversion"/>
  </si>
  <si>
    <t>장 섬 유</t>
    <phoneticPr fontId="3" type="noConversion"/>
  </si>
  <si>
    <t>M.P토믹스및살포기</t>
    <phoneticPr fontId="3" type="noConversion"/>
  </si>
  <si>
    <t>환경생태복원 MUDPACK [T=3cm]  ㎡ 당 [절토비탈면: 강마사,풍화암, 토사지역]</t>
    <phoneticPr fontId="3" type="noConversion"/>
  </si>
  <si>
    <t xml:space="preserve">취 부 기 </t>
    <phoneticPr fontId="3" type="noConversion"/>
  </si>
  <si>
    <t>환경생태복원 MUDPACK [T=7cm]  ㎡ 당 [ 보통암,리핑암,연암 ]</t>
    <phoneticPr fontId="3" type="noConversion"/>
  </si>
  <si>
    <t>1.앵커핀 및 착지핀 홀천공</t>
    <phoneticPr fontId="3" type="noConversion"/>
  </si>
  <si>
    <t>발전기</t>
    <phoneticPr fontId="3" type="noConversion"/>
  </si>
  <si>
    <t>착암공</t>
    <phoneticPr fontId="3" type="noConversion"/>
  </si>
  <si>
    <t>보 통 인 부</t>
    <phoneticPr fontId="3" type="noConversion"/>
  </si>
  <si>
    <t>소     계</t>
    <phoneticPr fontId="3" type="noConversion"/>
  </si>
  <si>
    <t>2.앵커핀 및 착지핀 설치</t>
    <phoneticPr fontId="3" type="noConversion"/>
  </si>
  <si>
    <t>앵커핀</t>
    <phoneticPr fontId="3" type="noConversion"/>
  </si>
  <si>
    <t>￠16, L=350</t>
    <phoneticPr fontId="3" type="noConversion"/>
  </si>
  <si>
    <t>￠16, L=250</t>
    <phoneticPr fontId="3" type="noConversion"/>
  </si>
  <si>
    <t>특 별 인 부</t>
    <phoneticPr fontId="3" type="noConversion"/>
  </si>
  <si>
    <t>풍화/마사</t>
    <phoneticPr fontId="3" type="noConversion"/>
  </si>
  <si>
    <t>리핑암</t>
    <phoneticPr fontId="3" type="noConversion"/>
  </si>
  <si>
    <t>리핑/발파</t>
    <phoneticPr fontId="3" type="noConversion"/>
  </si>
  <si>
    <t>발파암</t>
    <phoneticPr fontId="3" type="noConversion"/>
  </si>
  <si>
    <t>구  분</t>
    <phoneticPr fontId="3" type="noConversion"/>
  </si>
  <si>
    <t>성 토</t>
    <phoneticPr fontId="3" type="noConversion"/>
  </si>
  <si>
    <t>절 토</t>
    <phoneticPr fontId="3" type="noConversion"/>
  </si>
  <si>
    <t>적용</t>
    <phoneticPr fontId="3" type="noConversion"/>
  </si>
  <si>
    <t>줄 떼</t>
    <phoneticPr fontId="3" type="noConversion"/>
  </si>
  <si>
    <t>평 떼</t>
    <phoneticPr fontId="3" type="noConversion"/>
  </si>
  <si>
    <t>단  가</t>
    <phoneticPr fontId="3" type="noConversion"/>
  </si>
  <si>
    <t>비  고</t>
    <phoneticPr fontId="3" type="noConversion"/>
  </si>
  <si>
    <t>구 분</t>
    <phoneticPr fontId="3" type="noConversion"/>
  </si>
  <si>
    <t>성토</t>
    <phoneticPr fontId="45" type="noConversion"/>
  </si>
  <si>
    <t>절토</t>
    <phoneticPr fontId="45" type="noConversion"/>
  </si>
  <si>
    <t>비 고</t>
    <phoneticPr fontId="3" type="noConversion"/>
  </si>
  <si>
    <t>구  분</t>
    <phoneticPr fontId="3" type="noConversion"/>
  </si>
  <si>
    <t>두   께</t>
    <phoneticPr fontId="3" type="noConversion"/>
  </si>
  <si>
    <t>비  고</t>
    <phoneticPr fontId="3" type="noConversion"/>
  </si>
  <si>
    <t>Cm</t>
    <phoneticPr fontId="3" type="noConversion"/>
  </si>
  <si>
    <t>1. 앙카핀 및 착지핀 홀천공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</si>
  <si>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</si>
  <si>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</si>
  <si>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</si>
  <si>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</si>
  <si>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</si>
  <si>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</si>
  <si>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</si>
  <si>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합계</t>
    <phoneticPr fontId="3" type="noConversion"/>
  </si>
  <si>
    <t>단가</t>
    <phoneticPr fontId="3" type="noConversion"/>
  </si>
  <si>
    <t>금액</t>
    <phoneticPr fontId="3" type="noConversion"/>
  </si>
  <si>
    <t>발 전 기</t>
    <phoneticPr fontId="3" type="noConversion"/>
  </si>
  <si>
    <t>50KW</t>
    <phoneticPr fontId="3" type="noConversion"/>
  </si>
  <si>
    <t>HR</t>
    <phoneticPr fontId="3" type="noConversion"/>
  </si>
  <si>
    <t>착 암 공</t>
    <phoneticPr fontId="3" type="noConversion"/>
  </si>
  <si>
    <t>인</t>
    <phoneticPr fontId="3" type="noConversion"/>
  </si>
  <si>
    <t>보통인부</t>
    <phoneticPr fontId="3" type="noConversion"/>
  </si>
  <si>
    <t>핸드드릴 및       비트손료</t>
    <phoneticPr fontId="3" type="noConversion"/>
  </si>
  <si>
    <t>PHD38</t>
    <phoneticPr fontId="3" type="noConversion"/>
  </si>
  <si>
    <t>품2.5%</t>
    <phoneticPr fontId="3" type="noConversion"/>
  </si>
  <si>
    <t>소    계</t>
    <phoneticPr fontId="3" type="noConversion"/>
  </si>
  <si>
    <t>2. 앙카핀 및 착지핀 설치</t>
    <phoneticPr fontId="3" type="noConversion"/>
  </si>
  <si>
    <t>앙 카 핀</t>
    <phoneticPr fontId="3" type="noConversion"/>
  </si>
  <si>
    <t>Ø16,L0.5</t>
    <phoneticPr fontId="3" type="noConversion"/>
  </si>
  <si>
    <t>EA</t>
    <phoneticPr fontId="3" type="noConversion"/>
  </si>
  <si>
    <t>착 지 핀</t>
    <phoneticPr fontId="3" type="noConversion"/>
  </si>
  <si>
    <t>Ø16,L0.35</t>
    <phoneticPr fontId="3" type="noConversion"/>
  </si>
  <si>
    <t>특별인부</t>
    <phoneticPr fontId="3" type="noConversion"/>
  </si>
  <si>
    <t>3. 부착망 설치</t>
    <phoneticPr fontId="3" type="noConversion"/>
  </si>
  <si>
    <t>부 착 망</t>
    <phoneticPr fontId="3" type="noConversion"/>
  </si>
  <si>
    <t>Ø3.2 58*58</t>
    <phoneticPr fontId="3" type="noConversion"/>
  </si>
  <si>
    <t>M2</t>
    <phoneticPr fontId="3" type="noConversion"/>
  </si>
  <si>
    <t>철    선</t>
    <phoneticPr fontId="3" type="noConversion"/>
  </si>
  <si>
    <t>#8PVC코팅</t>
    <phoneticPr fontId="3" type="noConversion"/>
  </si>
  <si>
    <t>M</t>
    <phoneticPr fontId="3" type="noConversion"/>
  </si>
  <si>
    <t>작업반장</t>
    <phoneticPr fontId="3" type="noConversion"/>
  </si>
  <si>
    <t>4. 취 부 공</t>
    <phoneticPr fontId="3" type="noConversion"/>
  </si>
  <si>
    <t>녹 양 토</t>
    <phoneticPr fontId="3" type="noConversion"/>
  </si>
  <si>
    <t>M3</t>
    <phoneticPr fontId="3" type="noConversion"/>
  </si>
  <si>
    <t>종   자</t>
    <phoneticPr fontId="3" type="noConversion"/>
  </si>
  <si>
    <t>혼합종자</t>
    <phoneticPr fontId="3" type="noConversion"/>
  </si>
  <si>
    <t>G</t>
    <phoneticPr fontId="3" type="noConversion"/>
  </si>
  <si>
    <t>취 부 기</t>
    <phoneticPr fontId="3" type="noConversion"/>
  </si>
  <si>
    <t>25L</t>
    <phoneticPr fontId="3" type="noConversion"/>
  </si>
  <si>
    <t>공기압축기</t>
    <phoneticPr fontId="3" type="noConversion"/>
  </si>
  <si>
    <t>종    별</t>
  </si>
  <si>
    <t>규   격</t>
  </si>
  <si>
    <t>적용단가</t>
  </si>
  <si>
    <t>금 액</t>
  </si>
  <si>
    <t>테 라 토 공 법</t>
    <phoneticPr fontId="3" type="noConversion"/>
  </si>
  <si>
    <t>품     명</t>
    <phoneticPr fontId="116" type="noConversion"/>
  </si>
  <si>
    <t>규    격</t>
    <phoneticPr fontId="116" type="noConversion"/>
  </si>
  <si>
    <t>수  량</t>
    <phoneticPr fontId="116" type="noConversion"/>
  </si>
  <si>
    <t>단위</t>
    <phoneticPr fontId="116" type="noConversion"/>
  </si>
  <si>
    <t>총     액</t>
    <phoneticPr fontId="116" type="noConversion"/>
  </si>
  <si>
    <t>재   료   비</t>
    <phoneticPr fontId="116" type="noConversion"/>
  </si>
  <si>
    <t>노   무   비</t>
    <phoneticPr fontId="116" type="noConversion"/>
  </si>
  <si>
    <t>경       비</t>
    <phoneticPr fontId="116" type="noConversion"/>
  </si>
  <si>
    <t>비 고</t>
    <phoneticPr fontId="116" type="noConversion"/>
  </si>
  <si>
    <t>단 가</t>
    <phoneticPr fontId="116" type="noConversion"/>
  </si>
  <si>
    <t>금 액</t>
    <phoneticPr fontId="116" type="noConversion"/>
  </si>
  <si>
    <t xml:space="preserve">제 1호표 앙카핀 및 착지핀 홀천공 </t>
    <phoneticPr fontId="116" type="noConversion"/>
  </si>
  <si>
    <t>(1㎡당)</t>
    <phoneticPr fontId="116" type="noConversion"/>
  </si>
  <si>
    <t>발 전 기</t>
    <phoneticPr fontId="116" type="noConversion"/>
  </si>
  <si>
    <t>50kw</t>
    <phoneticPr fontId="116" type="noConversion"/>
  </si>
  <si>
    <t>HR</t>
    <phoneticPr fontId="116" type="noConversion"/>
  </si>
  <si>
    <t>착 암 공</t>
    <phoneticPr fontId="116" type="noConversion"/>
  </si>
  <si>
    <t>인</t>
    <phoneticPr fontId="116" type="noConversion"/>
  </si>
  <si>
    <t>보통인부</t>
    <phoneticPr fontId="116" type="noConversion"/>
  </si>
  <si>
    <t>소    계</t>
    <phoneticPr fontId="116" type="noConversion"/>
  </si>
  <si>
    <t xml:space="preserve">제 2호표 앙카핀 및 착지핀 설치 </t>
    <phoneticPr fontId="116" type="noConversion"/>
  </si>
  <si>
    <t>앙 카 핀</t>
    <phoneticPr fontId="116" type="noConversion"/>
  </si>
  <si>
    <t>Φ16 L=0.5m</t>
    <phoneticPr fontId="116" type="noConversion"/>
  </si>
  <si>
    <t>EA</t>
    <phoneticPr fontId="116" type="noConversion"/>
  </si>
  <si>
    <t>착 지 핀</t>
    <phoneticPr fontId="116" type="noConversion"/>
  </si>
  <si>
    <t>Φ16 L=0.35m</t>
    <phoneticPr fontId="116" type="noConversion"/>
  </si>
  <si>
    <t>특별인부</t>
    <phoneticPr fontId="116" type="noConversion"/>
  </si>
  <si>
    <t xml:space="preserve">제 3호표 능형망 설치 </t>
    <phoneticPr fontId="116" type="noConversion"/>
  </si>
  <si>
    <t>망(PE)360D</t>
    <phoneticPr fontId="116" type="noConversion"/>
  </si>
  <si>
    <t>40합4.5*4.5</t>
    <phoneticPr fontId="116" type="noConversion"/>
  </si>
  <si>
    <t>㎡</t>
    <phoneticPr fontId="116" type="noConversion"/>
  </si>
  <si>
    <t>작업반장</t>
    <phoneticPr fontId="116" type="noConversion"/>
  </si>
  <si>
    <t>제 4호표 취부공 품셈</t>
    <phoneticPr fontId="116" type="noConversion"/>
  </si>
  <si>
    <t>테라토</t>
    <phoneticPr fontId="116" type="noConversion"/>
  </si>
  <si>
    <t>절토면</t>
    <phoneticPr fontId="116" type="noConversion"/>
  </si>
  <si>
    <t>㎥</t>
    <phoneticPr fontId="116" type="noConversion"/>
  </si>
  <si>
    <t>종자</t>
    <phoneticPr fontId="116" type="noConversion"/>
  </si>
  <si>
    <t xml:space="preserve"> 혼합종자</t>
    <phoneticPr fontId="116" type="noConversion"/>
  </si>
  <si>
    <t>kg</t>
    <phoneticPr fontId="116" type="noConversion"/>
  </si>
  <si>
    <t>취 부 기</t>
    <phoneticPr fontId="116" type="noConversion"/>
  </si>
  <si>
    <t>25HP</t>
    <phoneticPr fontId="116" type="noConversion"/>
  </si>
  <si>
    <t>hr</t>
    <phoneticPr fontId="116" type="noConversion"/>
  </si>
  <si>
    <t>공기압축기</t>
    <phoneticPr fontId="116" type="noConversion"/>
  </si>
  <si>
    <t>17㎡/min</t>
    <phoneticPr fontId="116" type="noConversion"/>
  </si>
  <si>
    <t>트럭크레인</t>
    <phoneticPr fontId="116" type="noConversion"/>
  </si>
  <si>
    <t>5ton</t>
    <phoneticPr fontId="116" type="noConversion"/>
  </si>
  <si>
    <t>버블머신</t>
    <phoneticPr fontId="116" type="noConversion"/>
  </si>
  <si>
    <t>테라비아</t>
    <phoneticPr fontId="116" type="noConversion"/>
  </si>
  <si>
    <t>미생물액비</t>
    <phoneticPr fontId="116" type="noConversion"/>
  </si>
  <si>
    <t>L</t>
    <phoneticPr fontId="116" type="noConversion"/>
  </si>
  <si>
    <t>덤프트럭</t>
    <phoneticPr fontId="116" type="noConversion"/>
  </si>
  <si>
    <t>6ton</t>
    <phoneticPr fontId="116" type="noConversion"/>
  </si>
  <si>
    <t>기 계 공</t>
    <phoneticPr fontId="116" type="noConversion"/>
  </si>
  <si>
    <t>잡재료비</t>
    <phoneticPr fontId="116" type="noConversion"/>
  </si>
  <si>
    <t>재료비의3%</t>
    <phoneticPr fontId="116" type="noConversion"/>
  </si>
  <si>
    <t>기구손료</t>
    <phoneticPr fontId="116" type="noConversion"/>
  </si>
  <si>
    <t>노무비의2%</t>
    <phoneticPr fontId="116" type="noConversion"/>
  </si>
  <si>
    <t>합    계</t>
    <phoneticPr fontId="116" type="noConversion"/>
  </si>
  <si>
    <t>중  기  명 : 발 전 기(50KW)</t>
    <phoneticPr fontId="3" type="noConversion"/>
  </si>
  <si>
    <t>중기가격 : 16,360천원</t>
    <phoneticPr fontId="3" type="noConversion"/>
  </si>
  <si>
    <t>항   목</t>
    <phoneticPr fontId="3" type="noConversion"/>
  </si>
  <si>
    <t>구   분</t>
    <phoneticPr fontId="3" type="noConversion"/>
  </si>
  <si>
    <t>수  량</t>
    <phoneticPr fontId="3" type="noConversion"/>
  </si>
  <si>
    <t>단 위</t>
    <phoneticPr fontId="3" type="noConversion"/>
  </si>
  <si>
    <t>단   가</t>
    <phoneticPr fontId="3" type="noConversion"/>
  </si>
  <si>
    <t>금   액</t>
    <phoneticPr fontId="3" type="noConversion"/>
  </si>
  <si>
    <t>비   고</t>
    <phoneticPr fontId="3" type="noConversion"/>
  </si>
  <si>
    <t>재 료 비</t>
    <phoneticPr fontId="3" type="noConversion"/>
  </si>
  <si>
    <t>경    유</t>
    <phoneticPr fontId="3" type="noConversion"/>
  </si>
  <si>
    <t>ℓ</t>
    <phoneticPr fontId="3" type="noConversion"/>
  </si>
  <si>
    <t>잡    품</t>
    <phoneticPr fontId="3" type="noConversion"/>
  </si>
  <si>
    <t>%</t>
    <phoneticPr fontId="3" type="noConversion"/>
  </si>
  <si>
    <t>소    계</t>
    <phoneticPr fontId="3" type="noConversion"/>
  </si>
  <si>
    <t>노 무 비</t>
    <phoneticPr fontId="3" type="noConversion"/>
  </si>
  <si>
    <t>중기운전기사</t>
    <phoneticPr fontId="3" type="noConversion"/>
  </si>
  <si>
    <t>인</t>
    <phoneticPr fontId="3" type="noConversion"/>
  </si>
  <si>
    <t>중기운전조수</t>
    <phoneticPr fontId="3" type="noConversion"/>
  </si>
  <si>
    <t>중기조장</t>
    <phoneticPr fontId="3" type="noConversion"/>
  </si>
  <si>
    <t>경    비</t>
    <phoneticPr fontId="3" type="noConversion"/>
  </si>
  <si>
    <t>기계손료</t>
    <phoneticPr fontId="3" type="noConversion"/>
  </si>
  <si>
    <t>합   계</t>
    <phoneticPr fontId="3" type="noConversion"/>
  </si>
  <si>
    <t>중  기  명 : 취 부 기 (16L)</t>
    <phoneticPr fontId="3" type="noConversion"/>
  </si>
  <si>
    <t>중기가격 : 37,246천원</t>
    <phoneticPr fontId="3" type="noConversion"/>
  </si>
  <si>
    <t>중  기  명 : 공기압축기 (17㎥/min)</t>
    <phoneticPr fontId="3" type="noConversion"/>
  </si>
  <si>
    <t>중기가격 : 28,000천원</t>
    <phoneticPr fontId="3" type="noConversion"/>
  </si>
  <si>
    <t>중  기  명 : 굴삭기(유압식백호우 0.4㎥)</t>
    <phoneticPr fontId="3" type="noConversion"/>
  </si>
  <si>
    <t>중기가격 :61,106천원</t>
    <phoneticPr fontId="3" type="noConversion"/>
  </si>
  <si>
    <t>중  기  명 : 굴삭기(유압식백호우 0.7㎥)</t>
    <phoneticPr fontId="3" type="noConversion"/>
  </si>
  <si>
    <t>중기가격 : 93,042천원</t>
    <phoneticPr fontId="3" type="noConversion"/>
  </si>
  <si>
    <t>중  기  명 : 트럭 크레인 ( 10TON )</t>
    <phoneticPr fontId="3" type="noConversion"/>
  </si>
  <si>
    <t>중기가격 : 105,000천원</t>
    <phoneticPr fontId="3" type="noConversion"/>
  </si>
  <si>
    <t>중  기  명 : 물 탱 크(5,500L)</t>
    <phoneticPr fontId="3" type="noConversion"/>
  </si>
  <si>
    <t>중기가격 : 38,257천원</t>
    <phoneticPr fontId="3" type="noConversion"/>
  </si>
  <si>
    <t>중  기  명 : 덤  프  (6TON)</t>
    <phoneticPr fontId="3" type="noConversion"/>
  </si>
  <si>
    <t>중기가격 : 21,089천원</t>
    <phoneticPr fontId="3" type="noConversion"/>
  </si>
  <si>
    <t>중  기  명 : 버블머신기</t>
    <phoneticPr fontId="3" type="noConversion"/>
  </si>
  <si>
    <t>중기가격 :21,000천원</t>
    <phoneticPr fontId="3" type="noConversion"/>
  </si>
  <si>
    <t>전   력</t>
    <phoneticPr fontId="3" type="noConversion"/>
  </si>
  <si>
    <t>kw</t>
    <phoneticPr fontId="116" type="noConversion"/>
  </si>
  <si>
    <t>운전기사(기계)</t>
    <phoneticPr fontId="3" type="noConversion"/>
  </si>
  <si>
    <t>적  용  기  준</t>
    <phoneticPr fontId="3" type="noConversion"/>
  </si>
  <si>
    <t>* 환   율</t>
    <phoneticPr fontId="3" type="noConversion"/>
  </si>
  <si>
    <t>1달라($)</t>
    <phoneticPr fontId="3" type="noConversion"/>
  </si>
  <si>
    <t xml:space="preserve">: </t>
    <phoneticPr fontId="3" type="noConversion"/>
  </si>
  <si>
    <t>* 유 류 대</t>
    <phoneticPr fontId="3" type="noConversion"/>
  </si>
  <si>
    <t>경   유</t>
    <phoneticPr fontId="3" type="noConversion"/>
  </si>
  <si>
    <t>:</t>
    <phoneticPr fontId="3" type="noConversion"/>
  </si>
  <si>
    <t>원</t>
    <phoneticPr fontId="3" type="noConversion"/>
  </si>
  <si>
    <t>* 노 무 비</t>
    <phoneticPr fontId="3" type="noConversion"/>
  </si>
  <si>
    <t>*</t>
    <phoneticPr fontId="3" type="noConversion"/>
  </si>
  <si>
    <t>/</t>
    <phoneticPr fontId="3" type="noConversion"/>
  </si>
  <si>
    <t>=</t>
    <phoneticPr fontId="3" type="noConversion"/>
  </si>
  <si>
    <t>운전사(기계)</t>
    <phoneticPr fontId="3" type="noConversion"/>
  </si>
  <si>
    <t>적산정보</t>
    <phoneticPr fontId="116" type="noConversion"/>
  </si>
  <si>
    <t>견적서</t>
    <phoneticPr fontId="116" type="noConversion"/>
  </si>
  <si>
    <t>물가정보(04월)</t>
    <phoneticPr fontId="53" type="noConversion"/>
  </si>
  <si>
    <t>앵커핀</t>
    <phoneticPr fontId="98" type="noConversion"/>
  </si>
  <si>
    <t>이형철근 Φ16 L=0.5M</t>
    <phoneticPr fontId="116" type="noConversion"/>
  </si>
  <si>
    <t>개</t>
    <phoneticPr fontId="98" type="noConversion"/>
  </si>
  <si>
    <t>착지핀</t>
    <phoneticPr fontId="98" type="noConversion"/>
  </si>
  <si>
    <t>이형철근 Φ16 L=0.35M</t>
    <phoneticPr fontId="116" type="noConversion"/>
  </si>
  <si>
    <t>종자</t>
    <phoneticPr fontId="98" type="noConversion"/>
  </si>
  <si>
    <t>KG</t>
    <phoneticPr fontId="98" type="noConversion"/>
  </si>
  <si>
    <t>철선</t>
    <phoneticPr fontId="98" type="noConversion"/>
  </si>
  <si>
    <t xml:space="preserve">아연도 #8 </t>
    <phoneticPr fontId="98" type="noConversion"/>
  </si>
  <si>
    <t>M</t>
    <phoneticPr fontId="98" type="noConversion"/>
  </si>
  <si>
    <t>망(PE)360D</t>
    <phoneticPr fontId="98" type="noConversion"/>
  </si>
  <si>
    <t>M2</t>
    <phoneticPr fontId="98" type="noConversion"/>
  </si>
  <si>
    <t xml:space="preserve"> 테라토</t>
    <phoneticPr fontId="98" type="noConversion"/>
  </si>
  <si>
    <t>사면보호용</t>
    <phoneticPr fontId="116" type="noConversion"/>
  </si>
  <si>
    <t>M3</t>
    <phoneticPr fontId="98" type="noConversion"/>
  </si>
  <si>
    <t>경유</t>
    <phoneticPr fontId="116" type="noConversion"/>
  </si>
  <si>
    <t>ℓ</t>
    <phoneticPr fontId="116" type="noConversion"/>
  </si>
  <si>
    <t>보통인부</t>
    <phoneticPr fontId="53" type="noConversion"/>
  </si>
  <si>
    <t>인</t>
    <phoneticPr fontId="53" type="noConversion"/>
  </si>
  <si>
    <t>특별인부</t>
    <phoneticPr fontId="53" type="noConversion"/>
  </si>
  <si>
    <t>작업반장</t>
    <phoneticPr fontId="53" type="noConversion"/>
  </si>
  <si>
    <t>기계공</t>
    <phoneticPr fontId="53" type="noConversion"/>
  </si>
  <si>
    <t>착암공</t>
    <phoneticPr fontId="53" type="noConversion"/>
  </si>
  <si>
    <t>건설기계운전기사</t>
    <phoneticPr fontId="116" type="noConversion"/>
  </si>
  <si>
    <t>건설기계조장</t>
    <phoneticPr fontId="116" type="noConversion"/>
  </si>
  <si>
    <t>건설기계운전조수</t>
    <phoneticPr fontId="116" type="noConversion"/>
  </si>
  <si>
    <t>운전사(운반차)</t>
    <phoneticPr fontId="116" type="noConversion"/>
  </si>
  <si>
    <t xml:space="preserve">* 참고사항 : </t>
    <phoneticPr fontId="53" type="noConversion"/>
  </si>
  <si>
    <t>품     명</t>
    <phoneticPr fontId="116" type="noConversion"/>
  </si>
  <si>
    <t>규    격</t>
    <phoneticPr fontId="116" type="noConversion"/>
  </si>
  <si>
    <t>수  량</t>
    <phoneticPr fontId="116" type="noConversion"/>
  </si>
  <si>
    <t>단위</t>
    <phoneticPr fontId="116" type="noConversion"/>
  </si>
  <si>
    <t>총     액</t>
    <phoneticPr fontId="116" type="noConversion"/>
  </si>
  <si>
    <t>재   료   비</t>
    <phoneticPr fontId="116" type="noConversion"/>
  </si>
  <si>
    <t>노   무   비</t>
    <phoneticPr fontId="116" type="noConversion"/>
  </si>
  <si>
    <t>경       비</t>
    <phoneticPr fontId="116" type="noConversion"/>
  </si>
  <si>
    <t>비 고</t>
    <phoneticPr fontId="116" type="noConversion"/>
  </si>
  <si>
    <t>단 가</t>
    <phoneticPr fontId="116" type="noConversion"/>
  </si>
  <si>
    <t>금 액</t>
    <phoneticPr fontId="116" type="noConversion"/>
  </si>
  <si>
    <t xml:space="preserve">제 1호표 앙카핀 및 착지핀 홀천공 </t>
    <phoneticPr fontId="116" type="noConversion"/>
  </si>
  <si>
    <t>(1㎡당)</t>
    <phoneticPr fontId="116" type="noConversion"/>
  </si>
  <si>
    <t>발 전 기</t>
    <phoneticPr fontId="116" type="noConversion"/>
  </si>
  <si>
    <t>50kw</t>
    <phoneticPr fontId="116" type="noConversion"/>
  </si>
  <si>
    <t>HR</t>
    <phoneticPr fontId="116" type="noConversion"/>
  </si>
  <si>
    <t>착 암 공</t>
    <phoneticPr fontId="116" type="noConversion"/>
  </si>
  <si>
    <t>인</t>
    <phoneticPr fontId="116" type="noConversion"/>
  </si>
  <si>
    <t>보통인부</t>
    <phoneticPr fontId="116" type="noConversion"/>
  </si>
  <si>
    <t>소    계</t>
    <phoneticPr fontId="116" type="noConversion"/>
  </si>
  <si>
    <t xml:space="preserve">제 2호표 앙카핀 및 착지핀 설치 </t>
    <phoneticPr fontId="116" type="noConversion"/>
  </si>
  <si>
    <t>앙 카 핀</t>
    <phoneticPr fontId="116" type="noConversion"/>
  </si>
  <si>
    <t>Φ16 L=0.5m</t>
    <phoneticPr fontId="116" type="noConversion"/>
  </si>
  <si>
    <t>EA</t>
    <phoneticPr fontId="116" type="noConversion"/>
  </si>
  <si>
    <t>착 지 핀</t>
    <phoneticPr fontId="116" type="noConversion"/>
  </si>
  <si>
    <t>Φ16 L=0.35m</t>
    <phoneticPr fontId="116" type="noConversion"/>
  </si>
  <si>
    <t>특별인부</t>
    <phoneticPr fontId="116" type="noConversion"/>
  </si>
  <si>
    <t xml:space="preserve">제 3호표 능형망 설치 </t>
    <phoneticPr fontId="116" type="noConversion"/>
  </si>
  <si>
    <t>능 형 망</t>
    <phoneticPr fontId="116" type="noConversion"/>
  </si>
  <si>
    <t>#10 58*58</t>
    <phoneticPr fontId="116" type="noConversion"/>
  </si>
  <si>
    <t>㎡</t>
    <phoneticPr fontId="116" type="noConversion"/>
  </si>
  <si>
    <t>철    선</t>
    <phoneticPr fontId="116" type="noConversion"/>
  </si>
  <si>
    <t>#8 pvc 코팅</t>
    <phoneticPr fontId="116" type="noConversion"/>
  </si>
  <si>
    <t>m</t>
    <phoneticPr fontId="116" type="noConversion"/>
  </si>
  <si>
    <t>작업반장</t>
    <phoneticPr fontId="116" type="noConversion"/>
  </si>
  <si>
    <t>제 4호표 취부공 품셈</t>
    <phoneticPr fontId="116" type="noConversion"/>
  </si>
  <si>
    <t>테라토</t>
    <phoneticPr fontId="116" type="noConversion"/>
  </si>
  <si>
    <t>절토면</t>
    <phoneticPr fontId="116" type="noConversion"/>
  </si>
  <si>
    <t>㎥</t>
    <phoneticPr fontId="116" type="noConversion"/>
  </si>
  <si>
    <t>종자</t>
    <phoneticPr fontId="116" type="noConversion"/>
  </si>
  <si>
    <t xml:space="preserve"> 혼합종자</t>
    <phoneticPr fontId="116" type="noConversion"/>
  </si>
  <si>
    <t>kg</t>
    <phoneticPr fontId="116" type="noConversion"/>
  </si>
  <si>
    <t>취 부 기</t>
    <phoneticPr fontId="116" type="noConversion"/>
  </si>
  <si>
    <t>25HP</t>
    <phoneticPr fontId="116" type="noConversion"/>
  </si>
  <si>
    <t>hr</t>
    <phoneticPr fontId="116" type="noConversion"/>
  </si>
  <si>
    <t>공기압축기</t>
    <phoneticPr fontId="116" type="noConversion"/>
  </si>
  <si>
    <t>17㎡/min</t>
    <phoneticPr fontId="116" type="noConversion"/>
  </si>
  <si>
    <t>트럭크레인</t>
    <phoneticPr fontId="116" type="noConversion"/>
  </si>
  <si>
    <t>5ton</t>
    <phoneticPr fontId="116" type="noConversion"/>
  </si>
  <si>
    <t>버블머신</t>
    <phoneticPr fontId="116" type="noConversion"/>
  </si>
  <si>
    <t>테라비아</t>
    <phoneticPr fontId="116" type="noConversion"/>
  </si>
  <si>
    <t>미생물액비</t>
    <phoneticPr fontId="116" type="noConversion"/>
  </si>
  <si>
    <t>L</t>
    <phoneticPr fontId="116" type="noConversion"/>
  </si>
  <si>
    <t>덤프트럭</t>
    <phoneticPr fontId="116" type="noConversion"/>
  </si>
  <si>
    <t>6ton</t>
    <phoneticPr fontId="116" type="noConversion"/>
  </si>
  <si>
    <t>기 계 공</t>
    <phoneticPr fontId="116" type="noConversion"/>
  </si>
  <si>
    <t>잡재료비</t>
    <phoneticPr fontId="116" type="noConversion"/>
  </si>
  <si>
    <t>재료비의3%</t>
    <phoneticPr fontId="116" type="noConversion"/>
  </si>
  <si>
    <t>기구손료</t>
    <phoneticPr fontId="116" type="noConversion"/>
  </si>
  <si>
    <t>노무비의2%</t>
    <phoneticPr fontId="116" type="noConversion"/>
  </si>
  <si>
    <t>합    계</t>
    <phoneticPr fontId="116" type="noConversion"/>
  </si>
  <si>
    <t>중  기  명 : 발 전 기(50KW)</t>
    <phoneticPr fontId="3" type="noConversion"/>
  </si>
  <si>
    <t>중기가격 : 16,360천원</t>
    <phoneticPr fontId="3" type="noConversion"/>
  </si>
  <si>
    <t>구   분</t>
    <phoneticPr fontId="3" type="noConversion"/>
  </si>
  <si>
    <t>단   가</t>
    <phoneticPr fontId="3" type="noConversion"/>
  </si>
  <si>
    <t>금   액</t>
    <phoneticPr fontId="3" type="noConversion"/>
  </si>
  <si>
    <t>비   고</t>
    <phoneticPr fontId="3" type="noConversion"/>
  </si>
  <si>
    <t>경    유</t>
    <phoneticPr fontId="3" type="noConversion"/>
  </si>
  <si>
    <t>ℓ</t>
    <phoneticPr fontId="3" type="noConversion"/>
  </si>
  <si>
    <t>잡    품</t>
    <phoneticPr fontId="3" type="noConversion"/>
  </si>
  <si>
    <t>중기운전기사</t>
    <phoneticPr fontId="3" type="noConversion"/>
  </si>
  <si>
    <t>중기운전조수</t>
    <phoneticPr fontId="3" type="noConversion"/>
  </si>
  <si>
    <t>중기조장</t>
    <phoneticPr fontId="3" type="noConversion"/>
  </si>
  <si>
    <t>중  기  명 : 취 부 기 (16L)</t>
    <phoneticPr fontId="3" type="noConversion"/>
  </si>
  <si>
    <t>중기가격 : 37,246천원</t>
    <phoneticPr fontId="3" type="noConversion"/>
  </si>
  <si>
    <t>중  기  명 : 공기압축기 (17㎥/min)</t>
    <phoneticPr fontId="3" type="noConversion"/>
  </si>
  <si>
    <t>중기가격 : 28,000천원</t>
    <phoneticPr fontId="3" type="noConversion"/>
  </si>
  <si>
    <t>중  기  명 : 굴삭기(유압식백호우 0.4㎥)</t>
    <phoneticPr fontId="3" type="noConversion"/>
  </si>
  <si>
    <t>중기가격 :61,106천원</t>
    <phoneticPr fontId="3" type="noConversion"/>
  </si>
  <si>
    <t>중  기  명 : 굴삭기(유압식백호우 0.7㎥)</t>
    <phoneticPr fontId="3" type="noConversion"/>
  </si>
  <si>
    <t>중기가격 : 93,042천원</t>
    <phoneticPr fontId="3" type="noConversion"/>
  </si>
  <si>
    <t>중  기  명 : 트럭 크레인 ( 10TON )</t>
    <phoneticPr fontId="3" type="noConversion"/>
  </si>
  <si>
    <t>중기가격 : 105,000천원</t>
    <phoneticPr fontId="3" type="noConversion"/>
  </si>
  <si>
    <t>중  기  명 : 물 탱 크(5,500L)</t>
    <phoneticPr fontId="3" type="noConversion"/>
  </si>
  <si>
    <t>중기가격 : 38,257천원</t>
    <phoneticPr fontId="3" type="noConversion"/>
  </si>
  <si>
    <t>중  기  명 : 덤  프  (6TON)</t>
    <phoneticPr fontId="3" type="noConversion"/>
  </si>
  <si>
    <t>중기가격 : 21,089천원</t>
    <phoneticPr fontId="3" type="noConversion"/>
  </si>
  <si>
    <t>중  기  명 : 버블머신기</t>
    <phoneticPr fontId="3" type="noConversion"/>
  </si>
  <si>
    <t>중기가격 :21,000천원</t>
    <phoneticPr fontId="3" type="noConversion"/>
  </si>
  <si>
    <t>전   력</t>
    <phoneticPr fontId="3" type="noConversion"/>
  </si>
  <si>
    <t>kw</t>
    <phoneticPr fontId="116" type="noConversion"/>
  </si>
  <si>
    <t>운전기사(기계)</t>
    <phoneticPr fontId="3" type="noConversion"/>
  </si>
  <si>
    <t>적  용  기  준</t>
    <phoneticPr fontId="3" type="noConversion"/>
  </si>
  <si>
    <t>* 환   율</t>
    <phoneticPr fontId="3" type="noConversion"/>
  </si>
  <si>
    <t>1달라($)</t>
    <phoneticPr fontId="3" type="noConversion"/>
  </si>
  <si>
    <t xml:space="preserve">: </t>
    <phoneticPr fontId="3" type="noConversion"/>
  </si>
  <si>
    <t>* 유 류 대</t>
    <phoneticPr fontId="3" type="noConversion"/>
  </si>
  <si>
    <t>경   유</t>
    <phoneticPr fontId="3" type="noConversion"/>
  </si>
  <si>
    <t>* 노 무 비</t>
    <phoneticPr fontId="3" type="noConversion"/>
  </si>
  <si>
    <t>운전사(기계)</t>
    <phoneticPr fontId="3" type="noConversion"/>
  </si>
  <si>
    <t>적산정보</t>
    <phoneticPr fontId="116" type="noConversion"/>
  </si>
  <si>
    <t>견적서</t>
    <phoneticPr fontId="116" type="noConversion"/>
  </si>
  <si>
    <t>물가정보(04월)</t>
    <phoneticPr fontId="53" type="noConversion"/>
  </si>
  <si>
    <t>앵커핀</t>
    <phoneticPr fontId="98" type="noConversion"/>
  </si>
  <si>
    <t>이형철근 Φ16 L=0.5M</t>
    <phoneticPr fontId="116" type="noConversion"/>
  </si>
  <si>
    <t>개</t>
    <phoneticPr fontId="98" type="noConversion"/>
  </si>
  <si>
    <t>착지핀</t>
    <phoneticPr fontId="98" type="noConversion"/>
  </si>
  <si>
    <t>이형철근 Φ16 L=0.35M</t>
    <phoneticPr fontId="116" type="noConversion"/>
  </si>
  <si>
    <t>종자</t>
    <phoneticPr fontId="98" type="noConversion"/>
  </si>
  <si>
    <t>KG</t>
    <phoneticPr fontId="98" type="noConversion"/>
  </si>
  <si>
    <t>철선</t>
    <phoneticPr fontId="98" type="noConversion"/>
  </si>
  <si>
    <t xml:space="preserve">아연도 #8 </t>
    <phoneticPr fontId="98" type="noConversion"/>
  </si>
  <si>
    <t>M</t>
    <phoneticPr fontId="98" type="noConversion"/>
  </si>
  <si>
    <t>부착망(능형망)</t>
    <phoneticPr fontId="98" type="noConversion"/>
  </si>
  <si>
    <t>M2</t>
    <phoneticPr fontId="98" type="noConversion"/>
  </si>
  <si>
    <t xml:space="preserve"> 테라토</t>
    <phoneticPr fontId="98" type="noConversion"/>
  </si>
  <si>
    <t>사면보호용</t>
    <phoneticPr fontId="116" type="noConversion"/>
  </si>
  <si>
    <t>M3</t>
    <phoneticPr fontId="98" type="noConversion"/>
  </si>
  <si>
    <t>경유</t>
    <phoneticPr fontId="116" type="noConversion"/>
  </si>
  <si>
    <t>ℓ</t>
    <phoneticPr fontId="116" type="noConversion"/>
  </si>
  <si>
    <t>보통인부</t>
    <phoneticPr fontId="53" type="noConversion"/>
  </si>
  <si>
    <t>인</t>
    <phoneticPr fontId="53" type="noConversion"/>
  </si>
  <si>
    <t>특별인부</t>
    <phoneticPr fontId="53" type="noConversion"/>
  </si>
  <si>
    <t>작업반장</t>
    <phoneticPr fontId="53" type="noConversion"/>
  </si>
  <si>
    <t>기계공</t>
    <phoneticPr fontId="53" type="noConversion"/>
  </si>
  <si>
    <t>착암공</t>
    <phoneticPr fontId="53" type="noConversion"/>
  </si>
  <si>
    <t>건설기계운전기사</t>
    <phoneticPr fontId="116" type="noConversion"/>
  </si>
  <si>
    <t>건설기계조장</t>
    <phoneticPr fontId="116" type="noConversion"/>
  </si>
  <si>
    <t>건설기계운전조수</t>
    <phoneticPr fontId="116" type="noConversion"/>
  </si>
  <si>
    <t>운전사(운반차)</t>
    <phoneticPr fontId="116" type="noConversion"/>
  </si>
  <si>
    <t xml:space="preserve">* 참고사항 : </t>
    <phoneticPr fontId="53" type="noConversion"/>
  </si>
  <si>
    <t>적산정보</t>
    <phoneticPr fontId="116" type="noConversion"/>
  </si>
  <si>
    <t>견적서</t>
    <phoneticPr fontId="116" type="noConversion"/>
  </si>
  <si>
    <t>물가정보(04월)</t>
    <phoneticPr fontId="53" type="noConversion"/>
  </si>
  <si>
    <t>앵커핀</t>
    <phoneticPr fontId="98" type="noConversion"/>
  </si>
  <si>
    <t>이형철근 Φ16 L=0.5M</t>
    <phoneticPr fontId="116" type="noConversion"/>
  </si>
  <si>
    <t>개</t>
    <phoneticPr fontId="98" type="noConversion"/>
  </si>
  <si>
    <t>착지핀</t>
    <phoneticPr fontId="98" type="noConversion"/>
  </si>
  <si>
    <t>이형철근 Φ16 L=0.35M</t>
    <phoneticPr fontId="116" type="noConversion"/>
  </si>
  <si>
    <t>종자</t>
    <phoneticPr fontId="98" type="noConversion"/>
  </si>
  <si>
    <t xml:space="preserve"> 혼합종자</t>
    <phoneticPr fontId="116" type="noConversion"/>
  </si>
  <si>
    <t>KG</t>
    <phoneticPr fontId="98" type="noConversion"/>
  </si>
  <si>
    <t>철선</t>
    <phoneticPr fontId="98" type="noConversion"/>
  </si>
  <si>
    <t xml:space="preserve">아연도 #8 </t>
    <phoneticPr fontId="98" type="noConversion"/>
  </si>
  <si>
    <t>M</t>
    <phoneticPr fontId="98" type="noConversion"/>
  </si>
  <si>
    <t>부착망(능형망)</t>
    <phoneticPr fontId="98" type="noConversion"/>
  </si>
  <si>
    <t>#10 58*58</t>
    <phoneticPr fontId="116" type="noConversion"/>
  </si>
  <si>
    <t>M2</t>
    <phoneticPr fontId="98" type="noConversion"/>
  </si>
  <si>
    <t>테라비아</t>
    <phoneticPr fontId="116" type="noConversion"/>
  </si>
  <si>
    <t>미생물액비</t>
    <phoneticPr fontId="116" type="noConversion"/>
  </si>
  <si>
    <t>L</t>
    <phoneticPr fontId="116" type="noConversion"/>
  </si>
  <si>
    <t xml:space="preserve"> 테라토</t>
    <phoneticPr fontId="98" type="noConversion"/>
  </si>
  <si>
    <t>사면보호용</t>
    <phoneticPr fontId="116" type="noConversion"/>
  </si>
  <si>
    <t>M3</t>
    <phoneticPr fontId="98" type="noConversion"/>
  </si>
  <si>
    <t>경유</t>
    <phoneticPr fontId="116" type="noConversion"/>
  </si>
  <si>
    <t>ℓ</t>
    <phoneticPr fontId="116" type="noConversion"/>
  </si>
  <si>
    <t>보통인부</t>
    <phoneticPr fontId="53" type="noConversion"/>
  </si>
  <si>
    <t>인</t>
    <phoneticPr fontId="53" type="noConversion"/>
  </si>
  <si>
    <t>특별인부</t>
    <phoneticPr fontId="53" type="noConversion"/>
  </si>
  <si>
    <t>작업반장</t>
    <phoneticPr fontId="53" type="noConversion"/>
  </si>
  <si>
    <t>기계공</t>
    <phoneticPr fontId="53" type="noConversion"/>
  </si>
  <si>
    <t>착암공</t>
    <phoneticPr fontId="53" type="noConversion"/>
  </si>
  <si>
    <t>건설기계운전기사</t>
    <phoneticPr fontId="116" type="noConversion"/>
  </si>
  <si>
    <t>인</t>
    <phoneticPr fontId="116" type="noConversion"/>
  </si>
  <si>
    <t>건설기계조장</t>
    <phoneticPr fontId="116" type="noConversion"/>
  </si>
  <si>
    <t>건설기계운전조수</t>
    <phoneticPr fontId="116" type="noConversion"/>
  </si>
  <si>
    <t>운전사(운반차)</t>
    <phoneticPr fontId="116" type="noConversion"/>
  </si>
  <si>
    <t xml:space="preserve">* 참고사항 : </t>
    <phoneticPr fontId="53" type="noConversion"/>
  </si>
  <si>
    <t>21M3/MIN</t>
    <phoneticPr fontId="3" type="noConversion"/>
  </si>
  <si>
    <t>크레인</t>
    <phoneticPr fontId="3" type="noConversion"/>
  </si>
  <si>
    <t>5TON</t>
    <phoneticPr fontId="3" type="noConversion"/>
  </si>
  <si>
    <t>물 탱 크</t>
    <phoneticPr fontId="3" type="noConversion"/>
  </si>
  <si>
    <t>5,500L</t>
    <phoneticPr fontId="3" type="noConversion"/>
  </si>
  <si>
    <t>덤프트럭</t>
    <phoneticPr fontId="3" type="noConversion"/>
  </si>
  <si>
    <t>6TON</t>
    <phoneticPr fontId="3" type="noConversion"/>
  </si>
  <si>
    <t>기 계 공</t>
    <phoneticPr fontId="3" type="noConversion"/>
  </si>
  <si>
    <t>합    계</t>
    <phoneticPr fontId="3" type="noConversion"/>
  </si>
  <si>
    <t>잡재료비</t>
    <phoneticPr fontId="3" type="noConversion"/>
  </si>
  <si>
    <t>재료비의3%</t>
    <phoneticPr fontId="3" type="noConversion"/>
  </si>
  <si>
    <t>기구손료</t>
    <phoneticPr fontId="3" type="noConversion"/>
  </si>
  <si>
    <t>노무비의2%</t>
    <phoneticPr fontId="3" type="noConversion"/>
  </si>
  <si>
    <t>* 20M 이하 기준임. 높이별 할증은 별도 적용함.</t>
    <phoneticPr fontId="3" type="noConversion"/>
  </si>
  <si>
    <t>총    계</t>
    <phoneticPr fontId="3" type="noConversion"/>
  </si>
  <si>
    <t>주식회사  풍   록   원</t>
    <phoneticPr fontId="3" type="noConversion"/>
  </si>
  <si>
    <t>텍솔녹화토  암절개면보호 일위대가표 (T=4cm)</t>
    <phoneticPr fontId="3" type="noConversion"/>
  </si>
  <si>
    <t>텍솔녹화토  암절개면보호 일위대가표 (T=8cm)</t>
    <phoneticPr fontId="3" type="noConversion"/>
  </si>
  <si>
    <t>텍솔녹화토  암절개면보호 일위대가표 (T=12cm)</t>
    <phoneticPr fontId="3" type="noConversion"/>
  </si>
  <si>
    <t>Ø19,L0.5</t>
    <phoneticPr fontId="3" type="noConversion"/>
  </si>
  <si>
    <t>잡재료비</t>
    <phoneticPr fontId="3" type="noConversion"/>
  </si>
  <si>
    <t>재료비의 %</t>
    <phoneticPr fontId="3" type="noConversion"/>
  </si>
  <si>
    <t>노무비의 %</t>
    <phoneticPr fontId="3" type="noConversion"/>
  </si>
  <si>
    <t>#10- 58*58</t>
    <phoneticPr fontId="3" type="noConversion"/>
  </si>
  <si>
    <t>녹양토 암절개면보호녹화식재공 일위대가표 (T=5cm)</t>
    <phoneticPr fontId="3" type="noConversion"/>
  </si>
  <si>
    <t>녹양토 암절개면보호녹화식재공 일위대가표 (T=10cm)</t>
    <phoneticPr fontId="3" type="noConversion"/>
  </si>
  <si>
    <t>녹양토 암절개면보호녹화식재공 일위대가표 (T=15cm)</t>
    <phoneticPr fontId="3" type="noConversion"/>
  </si>
  <si>
    <t>종     자</t>
    <phoneticPr fontId="3" type="noConversion"/>
  </si>
  <si>
    <t>녹 화 토</t>
    <phoneticPr fontId="3" type="noConversion"/>
  </si>
  <si>
    <t>혼합잔디</t>
    <phoneticPr fontId="3" type="noConversion"/>
  </si>
  <si>
    <t>연속장섬유</t>
    <phoneticPr fontId="3" type="noConversion"/>
  </si>
  <si>
    <t>P.F.Y</t>
    <phoneticPr fontId="3" type="noConversion"/>
  </si>
  <si>
    <t>믹     서</t>
    <phoneticPr fontId="3" type="noConversion"/>
  </si>
  <si>
    <t>0.3 m3</t>
    <phoneticPr fontId="3" type="noConversion"/>
  </si>
  <si>
    <t>hr</t>
    <phoneticPr fontId="3" type="noConversion"/>
  </si>
  <si>
    <t>16L</t>
    <phoneticPr fontId="3" type="noConversion"/>
  </si>
  <si>
    <t>17 m3/min</t>
    <phoneticPr fontId="3" type="noConversion"/>
  </si>
  <si>
    <t>고압펌프</t>
    <phoneticPr fontId="3" type="noConversion"/>
  </si>
  <si>
    <t>200 kg/cm2</t>
    <phoneticPr fontId="3" type="noConversion"/>
  </si>
  <si>
    <t>실사출기</t>
    <phoneticPr fontId="3" type="noConversion"/>
  </si>
  <si>
    <t>4 NOZZLE</t>
    <phoneticPr fontId="3" type="noConversion"/>
  </si>
  <si>
    <t>상지텍솔</t>
    <phoneticPr fontId="3" type="noConversion"/>
  </si>
  <si>
    <t>드릴및비트손료</t>
    <phoneticPr fontId="3" type="noConversion"/>
  </si>
  <si>
    <t>명        칭</t>
    <phoneticPr fontId="3" type="noConversion"/>
  </si>
  <si>
    <t>품종 및 규격</t>
    <phoneticPr fontId="3" type="noConversion"/>
  </si>
  <si>
    <t>수  량</t>
    <phoneticPr fontId="3" type="noConversion"/>
  </si>
  <si>
    <t>재    료    비</t>
    <phoneticPr fontId="3" type="noConversion"/>
  </si>
  <si>
    <t>노      무      비</t>
    <phoneticPr fontId="3" type="noConversion"/>
  </si>
  <si>
    <t>경              비</t>
    <phoneticPr fontId="3" type="noConversion"/>
  </si>
  <si>
    <t>단 가</t>
    <phoneticPr fontId="3" type="noConversion"/>
  </si>
  <si>
    <t>금   액</t>
    <phoneticPr fontId="3" type="noConversion"/>
  </si>
  <si>
    <r>
      <t xml:space="preserve">      </t>
    </r>
    <r>
      <rPr>
        <b/>
        <sz val="11"/>
        <rFont val="굴림"/>
        <family val="3"/>
        <charset val="129"/>
      </rPr>
      <t>ASNA  무망 T = 10㎜    (10㎡당)</t>
    </r>
    <phoneticPr fontId="3" type="noConversion"/>
  </si>
  <si>
    <t>인      공      토</t>
    <phoneticPr fontId="3" type="noConversion"/>
  </si>
  <si>
    <t>베저테이브시멘트</t>
    <phoneticPr fontId="3" type="noConversion"/>
  </si>
  <si>
    <t>㎥</t>
    <phoneticPr fontId="3" type="noConversion"/>
  </si>
  <si>
    <t>종               자</t>
    <phoneticPr fontId="3" type="noConversion"/>
  </si>
  <si>
    <t>목본류 및 잔디류</t>
    <phoneticPr fontId="3" type="noConversion"/>
  </si>
  <si>
    <t>㎏</t>
    <phoneticPr fontId="3" type="noConversion"/>
  </si>
  <si>
    <t>믹               서</t>
    <phoneticPr fontId="3" type="noConversion"/>
  </si>
  <si>
    <t>0.45㎥</t>
    <phoneticPr fontId="3" type="noConversion"/>
  </si>
  <si>
    <t>엔               진</t>
    <phoneticPr fontId="3" type="noConversion"/>
  </si>
  <si>
    <t>70HP</t>
    <phoneticPr fontId="3" type="noConversion"/>
  </si>
  <si>
    <t>물      탱      크</t>
    <phoneticPr fontId="3" type="noConversion"/>
  </si>
  <si>
    <t>5,500ℓ</t>
    <phoneticPr fontId="3" type="noConversion"/>
  </si>
  <si>
    <t>모   노   펌   프</t>
    <phoneticPr fontId="3" type="noConversion"/>
  </si>
  <si>
    <t>5∼20㎥/hr</t>
    <phoneticPr fontId="3" type="noConversion"/>
  </si>
  <si>
    <t>특   별   인   부</t>
    <phoneticPr fontId="3" type="noConversion"/>
  </si>
  <si>
    <t>기      계      공</t>
    <phoneticPr fontId="3" type="noConversion"/>
  </si>
  <si>
    <t>보   통   인   부</t>
    <phoneticPr fontId="3" type="noConversion"/>
  </si>
  <si>
    <t>소        계</t>
    <phoneticPr fontId="3" type="noConversion"/>
  </si>
  <si>
    <t>㎡</t>
    <phoneticPr fontId="3" type="noConversion"/>
  </si>
  <si>
    <r>
      <t xml:space="preserve">      </t>
    </r>
    <r>
      <rPr>
        <b/>
        <sz val="11"/>
        <rFont val="굴림"/>
        <family val="3"/>
        <charset val="129"/>
      </rPr>
      <t>ASNA  무망 T = 20㎜    (10㎡당)</t>
    </r>
    <phoneticPr fontId="3" type="noConversion"/>
  </si>
  <si>
    <r>
      <t xml:space="preserve">      </t>
    </r>
    <r>
      <rPr>
        <b/>
        <sz val="11"/>
        <rFont val="굴림"/>
        <family val="3"/>
        <charset val="129"/>
      </rPr>
      <t>ASNA  무망 T = 30㎜    (10㎡당)</t>
    </r>
    <phoneticPr fontId="3" type="noConversion"/>
  </si>
  <si>
    <t>5∼20㎥</t>
    <phoneticPr fontId="3" type="noConversion"/>
  </si>
  <si>
    <r>
      <t xml:space="preserve">      </t>
    </r>
    <r>
      <rPr>
        <b/>
        <sz val="11"/>
        <rFont val="굴림"/>
        <family val="3"/>
        <charset val="129"/>
      </rPr>
      <t>ASNA  유망 T = 30㎜    (10㎡당</t>
    </r>
    <r>
      <rPr>
        <sz val="11"/>
        <rFont val="굴림"/>
        <family val="3"/>
        <charset val="129"/>
      </rPr>
      <t>)</t>
    </r>
    <phoneticPr fontId="3" type="noConversion"/>
  </si>
  <si>
    <t xml:space="preserve"> 1) 앵커핀 및 착지핀 홀천공</t>
    <phoneticPr fontId="3" type="noConversion"/>
  </si>
  <si>
    <t>발       전       기</t>
    <phoneticPr fontId="3" type="noConversion"/>
  </si>
  <si>
    <t>50㎾</t>
    <phoneticPr fontId="3" type="noConversion"/>
  </si>
  <si>
    <t>드릴 및 비트손료</t>
    <phoneticPr fontId="3" type="noConversion"/>
  </si>
  <si>
    <t>인건비의 2.5%</t>
    <phoneticPr fontId="3" type="noConversion"/>
  </si>
  <si>
    <t>식</t>
    <phoneticPr fontId="3" type="noConversion"/>
  </si>
  <si>
    <t>착       암       공</t>
    <phoneticPr fontId="3" type="noConversion"/>
  </si>
  <si>
    <t>보    통    인    부</t>
    <phoneticPr fontId="3" type="noConversion"/>
  </si>
  <si>
    <t xml:space="preserve">  2) 앵커핀 및 착지핀 설치</t>
    <phoneticPr fontId="3" type="noConversion"/>
  </si>
  <si>
    <t>앵       커       핀</t>
    <phoneticPr fontId="3" type="noConversion"/>
  </si>
  <si>
    <t>Φ19, L=0.6</t>
    <phoneticPr fontId="3" type="noConversion"/>
  </si>
  <si>
    <t>개</t>
    <phoneticPr fontId="3" type="noConversion"/>
  </si>
  <si>
    <t>착       지       핀</t>
    <phoneticPr fontId="3" type="noConversion"/>
  </si>
  <si>
    <t>Φ16, L=0.4</t>
    <phoneticPr fontId="3" type="noConversion"/>
  </si>
  <si>
    <t>특    별    인    부</t>
    <phoneticPr fontId="3" type="noConversion"/>
  </si>
  <si>
    <t>3)  부  착   망     설   치</t>
    <phoneticPr fontId="3" type="noConversion"/>
  </si>
  <si>
    <t>부       착       망</t>
    <phoneticPr fontId="3" type="noConversion"/>
  </si>
  <si>
    <t>Φ3.2, 58×58</t>
    <phoneticPr fontId="3" type="noConversion"/>
  </si>
  <si>
    <t>와  이  어  로  프</t>
    <phoneticPr fontId="3" type="noConversion"/>
  </si>
  <si>
    <t>Φ9</t>
    <phoneticPr fontId="3" type="noConversion"/>
  </si>
  <si>
    <t>m</t>
    <phoneticPr fontId="3" type="noConversion"/>
  </si>
  <si>
    <t>와  이  어  클  립</t>
    <phoneticPr fontId="3" type="noConversion"/>
  </si>
  <si>
    <t>3 / 8"</t>
    <phoneticPr fontId="3" type="noConversion"/>
  </si>
  <si>
    <t>5톤</t>
    <phoneticPr fontId="3" type="noConversion"/>
  </si>
  <si>
    <t>4)  취        부         공</t>
    <phoneticPr fontId="3" type="noConversion"/>
  </si>
  <si>
    <t>합        계</t>
    <phoneticPr fontId="3" type="noConversion"/>
  </si>
  <si>
    <r>
      <t xml:space="preserve">      </t>
    </r>
    <r>
      <rPr>
        <b/>
        <sz val="11"/>
        <rFont val="굴림"/>
        <family val="3"/>
        <charset val="129"/>
      </rPr>
      <t>ASNA  유망 T = 50㎜    (10㎡당</t>
    </r>
    <r>
      <rPr>
        <sz val="11"/>
        <rFont val="굴림"/>
        <family val="3"/>
        <charset val="129"/>
      </rPr>
      <t>)</t>
    </r>
    <phoneticPr fontId="3" type="noConversion"/>
  </si>
  <si>
    <t xml:space="preserve">  1) 앵커핀 및 착지핀 홀천공</t>
    <phoneticPr fontId="3" type="noConversion"/>
  </si>
  <si>
    <t>3) 부  착   망     설   치</t>
    <phoneticPr fontId="3" type="noConversion"/>
  </si>
  <si>
    <t>4) 취        부         공</t>
    <phoneticPr fontId="3" type="noConversion"/>
  </si>
  <si>
    <t>계</t>
    <phoneticPr fontId="3" type="noConversion"/>
  </si>
  <si>
    <t>적용 두께</t>
    <phoneticPr fontId="3" type="noConversion"/>
  </si>
  <si>
    <t>무망</t>
    <phoneticPr fontId="3" type="noConversion"/>
  </si>
  <si>
    <t>10mm</t>
    <phoneticPr fontId="3" type="noConversion"/>
  </si>
  <si>
    <t>20mm</t>
    <phoneticPr fontId="3" type="noConversion"/>
  </si>
  <si>
    <t>30mm</t>
    <phoneticPr fontId="3" type="noConversion"/>
  </si>
  <si>
    <t>유망</t>
    <phoneticPr fontId="3" type="noConversion"/>
  </si>
  <si>
    <t>50mm</t>
    <phoneticPr fontId="3" type="noConversion"/>
  </si>
  <si>
    <t>단 가(\/m2)</t>
    <phoneticPr fontId="3" type="noConversion"/>
  </si>
  <si>
    <t>단  가(\/m2)</t>
    <phoneticPr fontId="3" type="noConversion"/>
  </si>
  <si>
    <t>단가(\/m2)</t>
    <phoneticPr fontId="3" type="noConversion"/>
  </si>
  <si>
    <t>비 고</t>
    <phoneticPr fontId="3" type="noConversion"/>
  </si>
  <si>
    <t>규    격</t>
  </si>
  <si>
    <t xml:space="preserve">     재    료    비</t>
  </si>
  <si>
    <t xml:space="preserve">     노    무    비</t>
  </si>
  <si>
    <t>L</t>
  </si>
  <si>
    <t>KG</t>
  </si>
  <si>
    <t>취부기</t>
  </si>
  <si>
    <t>트럭크레인</t>
  </si>
  <si>
    <t>5 TON</t>
  </si>
  <si>
    <t>6 TON</t>
  </si>
  <si>
    <t>물탱크</t>
  </si>
  <si>
    <t>5,500 L</t>
  </si>
  <si>
    <t>자흡식 펌프</t>
  </si>
  <si>
    <t>100 MM</t>
  </si>
  <si>
    <t>재료비의 3%</t>
  </si>
  <si>
    <t>노무비의 2%</t>
  </si>
  <si>
    <t>생태숲복원공 ( SEED형 )  - 10 M2 당 -</t>
    <phoneticPr fontId="53" type="noConversion"/>
  </si>
  <si>
    <t>녹화기반토양</t>
    <phoneticPr fontId="53" type="noConversion"/>
  </si>
  <si>
    <t>생태숲복원용</t>
    <phoneticPr fontId="53" type="noConversion"/>
  </si>
  <si>
    <t>입단형성제</t>
    <phoneticPr fontId="53" type="noConversion"/>
  </si>
  <si>
    <t>표토구조형성</t>
    <phoneticPr fontId="53" type="noConversion"/>
  </si>
  <si>
    <t>생태복원용</t>
    <phoneticPr fontId="53" type="noConversion"/>
  </si>
  <si>
    <r>
      <t>4.3 M</t>
    </r>
    <r>
      <rPr>
        <vertAlign val="superscript"/>
        <sz val="11"/>
        <rFont val="굴림체"/>
        <family val="3"/>
        <charset val="129"/>
      </rPr>
      <t>3</t>
    </r>
    <phoneticPr fontId="53" type="noConversion"/>
  </si>
  <si>
    <t>덤프트럭</t>
    <phoneticPr fontId="53" type="noConversion"/>
  </si>
  <si>
    <t>소계</t>
    <phoneticPr fontId="53" type="noConversion"/>
  </si>
  <si>
    <t>생태숲복원공 (THK - 1 CM + 천연섬유망설치)  - 10 M2 당 -</t>
    <phoneticPr fontId="53" type="noConversion"/>
  </si>
  <si>
    <t>식</t>
    <phoneticPr fontId="53" type="noConversion"/>
  </si>
  <si>
    <t>철망설치</t>
    <phoneticPr fontId="53" type="noConversion"/>
  </si>
  <si>
    <t>생태숲복원공 (THK - 2 CM + 천연섬유망설치)  - 10 M2 당 -</t>
    <phoneticPr fontId="53" type="noConversion"/>
  </si>
  <si>
    <t>생태숲복원공 (THK - 3 CM + 철망설치)  - 10 M2 당 -</t>
    <phoneticPr fontId="53" type="noConversion"/>
  </si>
  <si>
    <t>생태숲복원공 (THK - 5 CM + 철망설치)   - 10 M2 당 -</t>
    <phoneticPr fontId="53" type="noConversion"/>
  </si>
  <si>
    <t>경    비</t>
    <phoneticPr fontId="53" type="noConversion"/>
  </si>
  <si>
    <t>단 가</t>
    <phoneticPr fontId="53" type="noConversion"/>
  </si>
  <si>
    <t>금 액</t>
    <phoneticPr fontId="53" type="noConversion"/>
  </si>
  <si>
    <t>합  계</t>
    <phoneticPr fontId="53" type="noConversion"/>
  </si>
  <si>
    <t>φ1X100X100</t>
    <phoneticPr fontId="53" type="noConversion"/>
  </si>
  <si>
    <t xml:space="preserve">#10-58x58 </t>
    <phoneticPr fontId="53" type="noConversion"/>
  </si>
  <si>
    <t>수 량</t>
    <phoneticPr fontId="53" type="noConversion"/>
  </si>
  <si>
    <t>종자(표준형)</t>
    <phoneticPr fontId="53" type="noConversion"/>
  </si>
  <si>
    <t>섬유망설치</t>
    <phoneticPr fontId="53" type="noConversion"/>
  </si>
  <si>
    <t>Seed형</t>
    <phoneticPr fontId="3" type="noConversion"/>
  </si>
  <si>
    <t>섬유망 1Cm</t>
    <phoneticPr fontId="3" type="noConversion"/>
  </si>
  <si>
    <t>철  망 3Cm</t>
    <phoneticPr fontId="3" type="noConversion"/>
  </si>
  <si>
    <t>철  망 5Cm</t>
    <phoneticPr fontId="3" type="noConversion"/>
  </si>
  <si>
    <t>섬유망 2Cm</t>
    <phoneticPr fontId="3" type="noConversion"/>
  </si>
  <si>
    <t>무  망 2Cm</t>
    <phoneticPr fontId="3" type="noConversion"/>
  </si>
  <si>
    <t>섬유망 3Cm</t>
    <phoneticPr fontId="3" type="noConversion"/>
  </si>
  <si>
    <t>섬유망 5Cm</t>
    <phoneticPr fontId="3" type="noConversion"/>
  </si>
  <si>
    <t>철  망 7Cm</t>
    <phoneticPr fontId="3" type="noConversion"/>
  </si>
  <si>
    <t>KG</t>
    <phoneticPr fontId="3" type="noConversion"/>
  </si>
  <si>
    <t>기  계  명</t>
  </si>
  <si>
    <t>총  액</t>
  </si>
  <si>
    <t>노무비</t>
  </si>
  <si>
    <t>재료비</t>
  </si>
  <si>
    <t>경비</t>
  </si>
  <si>
    <t>덤프트럭</t>
  </si>
  <si>
    <t>노 무 비</t>
  </si>
  <si>
    <t>재 료 비</t>
  </si>
  <si>
    <t>인</t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</si>
  <si>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</si>
  <si>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</si>
  <si>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</si>
  <si>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</si>
  <si>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</si>
  <si>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</si>
  <si>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</si>
  <si>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합계</t>
    <phoneticPr fontId="3" type="noConversion"/>
  </si>
  <si>
    <t>단가</t>
    <phoneticPr fontId="3" type="noConversion"/>
  </si>
  <si>
    <t>금액</t>
    <phoneticPr fontId="3" type="noConversion"/>
  </si>
  <si>
    <t>L</t>
    <phoneticPr fontId="3" type="noConversion"/>
  </si>
  <si>
    <t>섬유소</t>
    <phoneticPr fontId="3" type="noConversion"/>
  </si>
  <si>
    <t>구조형성</t>
    <phoneticPr fontId="3" type="noConversion"/>
  </si>
  <si>
    <t>6종혼합</t>
    <phoneticPr fontId="3" type="noConversion"/>
  </si>
  <si>
    <t>공기압축기</t>
    <phoneticPr fontId="3" type="noConversion"/>
  </si>
  <si>
    <t>덤프트럭</t>
    <phoneticPr fontId="3" type="noConversion"/>
  </si>
  <si>
    <t>작업반장</t>
    <phoneticPr fontId="3" type="noConversion"/>
  </si>
  <si>
    <t>특별인부</t>
    <phoneticPr fontId="3" type="noConversion"/>
  </si>
  <si>
    <t>보통인부</t>
    <phoneticPr fontId="3" type="noConversion"/>
  </si>
  <si>
    <t>기구손료</t>
    <phoneticPr fontId="3" type="noConversion"/>
  </si>
  <si>
    <t>KG</t>
    <phoneticPr fontId="3" type="noConversion"/>
  </si>
  <si>
    <t>G</t>
    <phoneticPr fontId="3" type="noConversion"/>
  </si>
  <si>
    <t>HR</t>
    <phoneticPr fontId="3" type="noConversion"/>
  </si>
  <si>
    <t>17M3/MIN</t>
    <phoneticPr fontId="3" type="noConversion"/>
  </si>
  <si>
    <t>발 전 기</t>
    <phoneticPr fontId="3" type="noConversion"/>
  </si>
  <si>
    <t>물 탱 크</t>
    <phoneticPr fontId="3" type="noConversion"/>
  </si>
  <si>
    <t>5,500L</t>
    <phoneticPr fontId="3" type="noConversion"/>
  </si>
  <si>
    <t>기 계 공</t>
    <phoneticPr fontId="3" type="noConversion"/>
  </si>
  <si>
    <t>소    계</t>
    <phoneticPr fontId="3" type="noConversion"/>
  </si>
  <si>
    <t>녹화기반제</t>
    <phoneticPr fontId="3" type="noConversion"/>
  </si>
  <si>
    <t>유기질토양</t>
    <phoneticPr fontId="3" type="noConversion"/>
  </si>
  <si>
    <t>양생제</t>
    <phoneticPr fontId="3" type="noConversion"/>
  </si>
  <si>
    <t>안정제</t>
    <phoneticPr fontId="3" type="noConversion"/>
  </si>
  <si>
    <t>단립제</t>
    <phoneticPr fontId="3" type="noConversion"/>
  </si>
  <si>
    <t>침식방지제</t>
    <phoneticPr fontId="3" type="noConversion"/>
  </si>
  <si>
    <t>종  자</t>
    <phoneticPr fontId="3" type="noConversion"/>
  </si>
  <si>
    <t>G</t>
    <phoneticPr fontId="3" type="noConversion"/>
  </si>
  <si>
    <t>L</t>
    <phoneticPr fontId="3" type="noConversion"/>
  </si>
  <si>
    <t>KG</t>
    <phoneticPr fontId="3" type="noConversion"/>
  </si>
  <si>
    <t>잡재료비</t>
    <phoneticPr fontId="3" type="noConversion"/>
  </si>
  <si>
    <t>%</t>
    <phoneticPr fontId="3" type="noConversion"/>
  </si>
  <si>
    <t>HR</t>
    <phoneticPr fontId="3" type="noConversion"/>
  </si>
  <si>
    <t>100KW</t>
    <phoneticPr fontId="3" type="noConversion"/>
  </si>
  <si>
    <t>트러탑재크레인</t>
    <phoneticPr fontId="3" type="noConversion"/>
  </si>
  <si>
    <t>취부기</t>
    <phoneticPr fontId="3" type="noConversion"/>
  </si>
  <si>
    <t>HR</t>
    <phoneticPr fontId="3" type="noConversion"/>
  </si>
  <si>
    <t>6.0 TON</t>
    <phoneticPr fontId="3" type="noConversion"/>
  </si>
  <si>
    <t>5.0 TON</t>
    <phoneticPr fontId="3" type="noConversion"/>
  </si>
  <si>
    <t>M2</t>
    <phoneticPr fontId="3" type="noConversion"/>
  </si>
  <si>
    <t>PE망</t>
    <phoneticPr fontId="3" type="noConversion"/>
  </si>
  <si>
    <t>230-D51</t>
    <phoneticPr fontId="3" type="noConversion"/>
  </si>
  <si>
    <t>고정핀</t>
    <phoneticPr fontId="3" type="noConversion"/>
  </si>
  <si>
    <t>D16-250mm</t>
    <phoneticPr fontId="3" type="noConversion"/>
  </si>
  <si>
    <t>취부기[ 25L ]</t>
    <phoneticPr fontId="3" type="noConversion"/>
  </si>
  <si>
    <t>25L</t>
    <phoneticPr fontId="3" type="noConversion"/>
  </si>
  <si>
    <t>25 L</t>
    <phoneticPr fontId="3" type="noConversion"/>
  </si>
  <si>
    <t>취부기</t>
    <phoneticPr fontId="3" type="noConversion"/>
  </si>
  <si>
    <t>25 L</t>
    <phoneticPr fontId="3" type="noConversion"/>
  </si>
  <si>
    <t>HR</t>
    <phoneticPr fontId="3" type="noConversion"/>
  </si>
  <si>
    <t>25 L</t>
    <phoneticPr fontId="3" type="noConversion"/>
  </si>
  <si>
    <t>1.천연섬유망설치</t>
    <phoneticPr fontId="3" type="noConversion"/>
  </si>
  <si>
    <t>천연섬유망</t>
    <phoneticPr fontId="3" type="noConversion"/>
  </si>
  <si>
    <t>D3~5,10~100</t>
    <phoneticPr fontId="3" type="noConversion"/>
  </si>
  <si>
    <t>잡재료비</t>
    <phoneticPr fontId="3" type="noConversion"/>
  </si>
  <si>
    <t>트러탑재크레인</t>
    <phoneticPr fontId="3" type="noConversion"/>
  </si>
  <si>
    <t>총    계</t>
    <phoneticPr fontId="3" type="noConversion"/>
  </si>
  <si>
    <t>착지핀</t>
    <phoneticPr fontId="3" type="noConversion"/>
  </si>
  <si>
    <t>3.부착망설치</t>
    <phoneticPr fontId="3" type="noConversion"/>
  </si>
  <si>
    <t>#10,58*58,코팅</t>
    <phoneticPr fontId="8" type="noConversion"/>
  </si>
  <si>
    <t>4. 취 부 공</t>
    <phoneticPr fontId="3" type="noConversion"/>
  </si>
  <si>
    <t>품      명</t>
    <phoneticPr fontId="3" type="noConversion"/>
  </si>
  <si>
    <t>규      격</t>
    <phoneticPr fontId="3" type="noConversion"/>
  </si>
  <si>
    <t>비      고</t>
    <phoneticPr fontId="3" type="noConversion"/>
  </si>
  <si>
    <t>유기자연토양</t>
    <phoneticPr fontId="3" type="noConversion"/>
  </si>
  <si>
    <t>섬유소</t>
    <phoneticPr fontId="3" type="noConversion"/>
  </si>
  <si>
    <t>침식방지</t>
    <phoneticPr fontId="3" type="noConversion"/>
  </si>
  <si>
    <t>KG</t>
    <phoneticPr fontId="3" type="noConversion"/>
  </si>
  <si>
    <t>구조형성</t>
    <phoneticPr fontId="3" type="noConversion"/>
  </si>
  <si>
    <t>종자</t>
    <phoneticPr fontId="3" type="noConversion"/>
  </si>
  <si>
    <t>G</t>
    <phoneticPr fontId="3" type="noConversion"/>
  </si>
  <si>
    <t>EA</t>
    <phoneticPr fontId="3" type="noConversion"/>
  </si>
  <si>
    <t xml:space="preserve"> </t>
    <phoneticPr fontId="3" type="noConversion"/>
  </si>
  <si>
    <t>적용단가</t>
    <phoneticPr fontId="3" type="noConversion"/>
  </si>
  <si>
    <t>조사가격</t>
    <phoneticPr fontId="3" type="noConversion"/>
  </si>
  <si>
    <t>1 달   러 ($):</t>
    <phoneticPr fontId="3" type="noConversion"/>
  </si>
  <si>
    <t>취부기</t>
    <phoneticPr fontId="3" type="noConversion"/>
  </si>
  <si>
    <t>공기압축기(이동식)[17.0m3/min 600cfm]</t>
    <phoneticPr fontId="3" type="noConversion"/>
  </si>
  <si>
    <t>발 전 기 [ 100 KW ]</t>
    <phoneticPr fontId="3" type="noConversion"/>
  </si>
  <si>
    <t>트럭탑재형 크레인</t>
    <phoneticPr fontId="3" type="noConversion"/>
  </si>
  <si>
    <t>트럭탑재형 크레인 [ 5.0 Ton ]</t>
    <phoneticPr fontId="3" type="noConversion"/>
  </si>
  <si>
    <t>덤프트럭 [ 6.0 Ton ]</t>
    <phoneticPr fontId="3" type="noConversion"/>
  </si>
  <si>
    <t>공기 압축기(이동식)</t>
    <phoneticPr fontId="3" type="noConversion"/>
  </si>
  <si>
    <t>17.0 m3/min</t>
    <phoneticPr fontId="3" type="noConversion"/>
  </si>
  <si>
    <t>발전기</t>
    <phoneticPr fontId="3" type="noConversion"/>
  </si>
  <si>
    <t>100kw</t>
    <phoneticPr fontId="3" type="noConversion"/>
  </si>
  <si>
    <t>5.0 Ton</t>
    <phoneticPr fontId="3" type="noConversion"/>
  </si>
  <si>
    <t>물탱크</t>
    <phoneticPr fontId="3" type="noConversion"/>
  </si>
  <si>
    <t>5,500 L</t>
    <phoneticPr fontId="3" type="noConversion"/>
  </si>
  <si>
    <t>6.0 Ton</t>
    <phoneticPr fontId="3" type="noConversion"/>
  </si>
  <si>
    <t>할증율(%)</t>
    <phoneticPr fontId="3" type="noConversion"/>
  </si>
  <si>
    <t xml:space="preserve">노 임 단 가 </t>
    <phoneticPr fontId="3" type="noConversion"/>
  </si>
  <si>
    <t>비     고</t>
    <phoneticPr fontId="3" type="noConversion"/>
  </si>
  <si>
    <t xml:space="preserve"> </t>
    <phoneticPr fontId="3" type="noConversion"/>
  </si>
  <si>
    <t xml:space="preserve"> </t>
    <phoneticPr fontId="3" type="noConversion"/>
  </si>
  <si>
    <t>금    액</t>
  </si>
  <si>
    <t>PAGE</t>
  </si>
  <si>
    <t>단   가</t>
  </si>
  <si>
    <t>적 용 단 가</t>
    <phoneticPr fontId="3" type="noConversion"/>
  </si>
  <si>
    <t>단  위</t>
    <phoneticPr fontId="3" type="noConversion"/>
  </si>
  <si>
    <t>번  호</t>
    <phoneticPr fontId="3" type="noConversion"/>
  </si>
  <si>
    <t>직 종 별</t>
    <phoneticPr fontId="3" type="noConversion"/>
  </si>
  <si>
    <t>*</t>
  </si>
  <si>
    <t>환     율</t>
  </si>
  <si>
    <t xml:space="preserve">유  류  대 </t>
  </si>
  <si>
    <t>휘   발   유 :</t>
  </si>
  <si>
    <t>경        유 :</t>
  </si>
  <si>
    <t>노  무  비</t>
  </si>
  <si>
    <t>중기 운전 기사:</t>
  </si>
  <si>
    <t>*1/8*16/12*25/20 =</t>
  </si>
  <si>
    <t>운전사(운반차):</t>
  </si>
  <si>
    <t>운전사(기  계):</t>
  </si>
  <si>
    <t>중기 운전 조수:</t>
  </si>
  <si>
    <t>중  기  조  장:</t>
  </si>
  <si>
    <t>중 기 명:</t>
  </si>
  <si>
    <t>중기가격:</t>
  </si>
  <si>
    <t>천원</t>
  </si>
  <si>
    <t>항    목</t>
  </si>
  <si>
    <t>구    분</t>
  </si>
  <si>
    <t>수   량</t>
  </si>
  <si>
    <t>단   위</t>
  </si>
  <si>
    <t>금  액</t>
  </si>
  <si>
    <t>비  고</t>
  </si>
  <si>
    <t>주 연 료</t>
  </si>
  <si>
    <t>잡    품</t>
  </si>
  <si>
    <t>%</t>
  </si>
  <si>
    <t>소    계</t>
  </si>
  <si>
    <t>운 전 사</t>
  </si>
  <si>
    <t>경    비</t>
  </si>
  <si>
    <t>기계손료</t>
  </si>
  <si>
    <t>합    계</t>
  </si>
  <si>
    <t xml:space="preserve">천원      </t>
  </si>
  <si>
    <t>조    수</t>
  </si>
  <si>
    <t>물 탱 크 (5500ℓ)</t>
  </si>
  <si>
    <t>인</t>
    <phoneticPr fontId="3" type="noConversion"/>
  </si>
  <si>
    <t>%</t>
    <phoneticPr fontId="3" type="noConversion"/>
  </si>
  <si>
    <t>중기운전조수</t>
  </si>
  <si>
    <t>특별인부</t>
  </si>
  <si>
    <t>번호</t>
  </si>
  <si>
    <t>착암공</t>
  </si>
  <si>
    <t>작업반장</t>
  </si>
  <si>
    <t>보통인부</t>
  </si>
  <si>
    <t>중기운전기사</t>
  </si>
  <si>
    <t>중기조장</t>
  </si>
  <si>
    <t>운전사(운반차)</t>
  </si>
  <si>
    <t>운전사(기 계)</t>
  </si>
  <si>
    <t>기계공</t>
  </si>
  <si>
    <t>[단위 : m2 당]</t>
    <phoneticPr fontId="3" type="noConversion"/>
  </si>
  <si>
    <t>총    계</t>
    <phoneticPr fontId="3" type="noConversion"/>
  </si>
  <si>
    <t>재료비의</t>
    <phoneticPr fontId="3" type="noConversion"/>
  </si>
  <si>
    <t>노무비의</t>
    <phoneticPr fontId="3" type="noConversion"/>
  </si>
  <si>
    <t>* 수직고 20M 이하, 면적1000m2 이상 기준임.</t>
    <phoneticPr fontId="3" type="noConversion"/>
  </si>
  <si>
    <t>규격</t>
  </si>
  <si>
    <t>단위</t>
  </si>
  <si>
    <t>환율</t>
  </si>
  <si>
    <t>/</t>
  </si>
  <si>
    <t>휘발유</t>
  </si>
  <si>
    <t>ℓ</t>
  </si>
  <si>
    <t>경유</t>
  </si>
  <si>
    <t>합  계</t>
    <phoneticPr fontId="3" type="noConversion"/>
  </si>
  <si>
    <t xml:space="preserve"> 3.1 PE합사및천연섬유망 설치</t>
    <phoneticPr fontId="3" type="noConversion"/>
  </si>
  <si>
    <t xml:space="preserve"> 3.2 기초철망 설치</t>
    <phoneticPr fontId="3" type="noConversion"/>
  </si>
  <si>
    <t>THK1</t>
    <phoneticPr fontId="3" type="noConversion"/>
  </si>
  <si>
    <t>*천연섬유망 : 3.1 천연섬유부착망설치 + 취부공 적용</t>
    <phoneticPr fontId="3" type="noConversion"/>
  </si>
  <si>
    <t>*철    망 : 1.0 고정핀 천공+2.0 핀설치 + 3.2 기초철망설치+4.0 취부공 적용</t>
    <phoneticPr fontId="3" type="noConversion"/>
  </si>
  <si>
    <t>*무    망 : 4.0 취부공만 적용</t>
    <phoneticPr fontId="3" type="noConversion"/>
  </si>
  <si>
    <t>*PE합사망 : 3.1 PE부착망설치 + 4.0 취부공 적용</t>
    <phoneticPr fontId="3" type="noConversion"/>
  </si>
  <si>
    <t>4.0 취 부 공</t>
    <phoneticPr fontId="3" type="noConversion"/>
  </si>
  <si>
    <t>3.0 부착망설치</t>
    <phoneticPr fontId="3" type="noConversion"/>
  </si>
  <si>
    <t>2.0 고정핀및착지핀 설치</t>
    <phoneticPr fontId="3" type="noConversion"/>
  </si>
  <si>
    <t>1.0 고정핀및착지핀 천공</t>
    <phoneticPr fontId="3" type="noConversion"/>
  </si>
  <si>
    <t>SEED</t>
    <phoneticPr fontId="3" type="noConversion"/>
  </si>
  <si>
    <t>THK2</t>
    <phoneticPr fontId="3" type="noConversion"/>
  </si>
  <si>
    <t>THK3</t>
    <phoneticPr fontId="3" type="noConversion"/>
  </si>
  <si>
    <t>THK5</t>
    <phoneticPr fontId="3" type="noConversion"/>
  </si>
  <si>
    <t>THK7</t>
    <phoneticPr fontId="3" type="noConversion"/>
  </si>
  <si>
    <t>THK10</t>
    <phoneticPr fontId="3" type="noConversion"/>
  </si>
  <si>
    <t>THK12</t>
    <phoneticPr fontId="3" type="noConversion"/>
  </si>
  <si>
    <t>발전기</t>
    <phoneticPr fontId="8" type="noConversion"/>
  </si>
  <si>
    <t>100KW</t>
    <phoneticPr fontId="8" type="noConversion"/>
  </si>
  <si>
    <t>착암공</t>
    <phoneticPr fontId="8" type="noConversion"/>
  </si>
  <si>
    <t>보통인부</t>
    <phoneticPr fontId="8" type="noConversion"/>
  </si>
  <si>
    <t>드릴비트및손료</t>
    <phoneticPr fontId="8" type="noConversion"/>
  </si>
  <si>
    <t>D16-350mm</t>
    <phoneticPr fontId="3" type="noConversion"/>
  </si>
  <si>
    <t>EA</t>
    <phoneticPr fontId="3" type="noConversion"/>
  </si>
  <si>
    <t>부착망</t>
    <phoneticPr fontId="8" type="noConversion"/>
  </si>
  <si>
    <t>㎡</t>
    <phoneticPr fontId="8" type="noConversion"/>
  </si>
  <si>
    <t>철선</t>
    <phoneticPr fontId="8" type="noConversion"/>
  </si>
  <si>
    <t>#8</t>
    <phoneticPr fontId="8" type="noConversion"/>
  </si>
  <si>
    <t>M</t>
    <phoneticPr fontId="8" type="noConversion"/>
  </si>
  <si>
    <t>철 선</t>
    <phoneticPr fontId="3" type="noConversion"/>
  </si>
  <si>
    <t>#8-PVC코팅</t>
    <phoneticPr fontId="3" type="noConversion"/>
  </si>
  <si>
    <t>M</t>
    <phoneticPr fontId="3" type="noConversion"/>
  </si>
  <si>
    <t>#8,PVC코팅</t>
    <phoneticPr fontId="8" type="noConversion"/>
  </si>
  <si>
    <t>#10,58*58,PVC</t>
    <phoneticPr fontId="8" type="noConversion"/>
  </si>
  <si>
    <t>1.고정핀및착지핀 천공</t>
    <phoneticPr fontId="3" type="noConversion"/>
  </si>
  <si>
    <t>2.고정핀및착지핀 설치</t>
    <phoneticPr fontId="3" type="noConversion"/>
  </si>
  <si>
    <t>발전기</t>
    <phoneticPr fontId="8" type="noConversion"/>
  </si>
  <si>
    <t>착암공</t>
    <phoneticPr fontId="8" type="noConversion"/>
  </si>
  <si>
    <t>보통인부</t>
    <phoneticPr fontId="8" type="noConversion"/>
  </si>
  <si>
    <t>부착망</t>
    <phoneticPr fontId="8" type="noConversion"/>
  </si>
  <si>
    <t>철선</t>
    <phoneticPr fontId="8" type="noConversion"/>
  </si>
  <si>
    <t>중기</t>
    <phoneticPr fontId="3" type="noConversion"/>
  </si>
  <si>
    <t>기계</t>
    <phoneticPr fontId="3" type="noConversion"/>
  </si>
  <si>
    <t>운반차</t>
    <phoneticPr fontId="3" type="noConversion"/>
  </si>
  <si>
    <t>운반차</t>
    <phoneticPr fontId="3" type="noConversion"/>
  </si>
  <si>
    <t>8.0 자 재 비 교 표</t>
    <phoneticPr fontId="3" type="noConversion"/>
  </si>
  <si>
    <t>9.0 중 기 목 록</t>
    <phoneticPr fontId="3" type="noConversion"/>
  </si>
  <si>
    <t>10.0 중기사용료 적용기준</t>
    <phoneticPr fontId="3" type="noConversion"/>
  </si>
  <si>
    <t>3.0 재료 및 품의수량 [M2당]</t>
    <phoneticPr fontId="3" type="noConversion"/>
  </si>
  <si>
    <t>철근D19-350mm</t>
    <phoneticPr fontId="3" type="noConversion"/>
  </si>
  <si>
    <t>D5,10~100</t>
    <phoneticPr fontId="3" type="noConversion"/>
  </si>
  <si>
    <t>#10-58*58-3.2</t>
    <phoneticPr fontId="3" type="noConversion"/>
  </si>
  <si>
    <t>2. 취 부 공</t>
    <phoneticPr fontId="3" type="noConversion"/>
  </si>
  <si>
    <t>명  칭</t>
    <phoneticPr fontId="3" type="noConversion"/>
  </si>
  <si>
    <t>규  격</t>
    <phoneticPr fontId="3" type="noConversion"/>
  </si>
  <si>
    <t>적  용   두  께</t>
    <phoneticPr fontId="3" type="noConversion"/>
  </si>
  <si>
    <t>1.0 재 료 비</t>
    <phoneticPr fontId="3" type="noConversion"/>
  </si>
  <si>
    <t>/</t>
    <phoneticPr fontId="3" type="noConversion"/>
  </si>
  <si>
    <t>매</t>
    <phoneticPr fontId="3" type="noConversion"/>
  </si>
  <si>
    <t>* (</t>
    <phoneticPr fontId="3" type="noConversion"/>
  </si>
  <si>
    <t>) *</t>
    <phoneticPr fontId="3" type="noConversion"/>
  </si>
  <si>
    <t>=</t>
    <phoneticPr fontId="3" type="noConversion"/>
  </si>
  <si>
    <t>매</t>
    <phoneticPr fontId="3" type="noConversion"/>
  </si>
  <si>
    <t>경  비</t>
    <phoneticPr fontId="3" type="noConversion"/>
  </si>
  <si>
    <t>2.0 소 운 반</t>
    <phoneticPr fontId="3" type="noConversion"/>
  </si>
  <si>
    <t>-</t>
    <phoneticPr fontId="3" type="noConversion"/>
  </si>
  <si>
    <t>사용장비 : 지게</t>
    <phoneticPr fontId="3" type="noConversion"/>
  </si>
  <si>
    <t>m/hr</t>
    <phoneticPr fontId="3" type="noConversion"/>
  </si>
  <si>
    <t>T (1일작업시간:480분-30분) =</t>
    <phoneticPr fontId="3" type="noConversion"/>
  </si>
  <si>
    <t>min</t>
    <phoneticPr fontId="3" type="noConversion"/>
  </si>
  <si>
    <t>m</t>
    <phoneticPr fontId="3" type="noConversion"/>
  </si>
  <si>
    <t>t (적재적하소요시간)</t>
    <phoneticPr fontId="3" type="noConversion"/>
  </si>
  <si>
    <t xml:space="preserve">V (평균왕복속도) </t>
    <phoneticPr fontId="3" type="noConversion"/>
  </si>
  <si>
    <t>L (운반거리 =</t>
    <phoneticPr fontId="3" type="noConversion"/>
  </si>
  <si>
    <t>N (횟수) = V*T/(120*L+V*t) =</t>
    <phoneticPr fontId="3" type="noConversion"/>
  </si>
  <si>
    <t>회/일</t>
    <phoneticPr fontId="3" type="noConversion"/>
  </si>
  <si>
    <t>q (1회운반량)</t>
    <phoneticPr fontId="3" type="noConversion"/>
  </si>
  <si>
    <t>보통인부 :</t>
    <phoneticPr fontId="3" type="noConversion"/>
  </si>
  <si>
    <t>Q (1일운반량) = N * q</t>
    <phoneticPr fontId="3" type="noConversion"/>
  </si>
  <si>
    <t>매/회(줄떼)</t>
    <phoneticPr fontId="3" type="noConversion"/>
  </si>
  <si>
    <t>*</t>
    <phoneticPr fontId="3" type="noConversion"/>
  </si>
  <si>
    <t>1인/Q*11매*1.1</t>
    <phoneticPr fontId="3" type="noConversion"/>
  </si>
  <si>
    <t>매/일</t>
    <phoneticPr fontId="3" type="noConversion"/>
  </si>
  <si>
    <t>5.0 작업반장(보통인부 25~50인 적용)</t>
    <phoneticPr fontId="3" type="noConversion"/>
  </si>
  <si>
    <t>계</t>
    <phoneticPr fontId="3" type="noConversion"/>
  </si>
  <si>
    <t>산  출   근   거</t>
    <phoneticPr fontId="3" type="noConversion"/>
  </si>
  <si>
    <t>▣ 줄  떼 (m2)</t>
    <phoneticPr fontId="3" type="noConversion"/>
  </si>
  <si>
    <t>▣ 평  떼 (m2)</t>
    <phoneticPr fontId="3" type="noConversion"/>
  </si>
  <si>
    <t>1인 * (22/1000) *</t>
    <phoneticPr fontId="3" type="noConversion"/>
  </si>
  <si>
    <t>매/회(평떼)</t>
    <phoneticPr fontId="3" type="noConversion"/>
  </si>
  <si>
    <t>D19-350mm</t>
    <phoneticPr fontId="3" type="noConversion"/>
  </si>
  <si>
    <t xml:space="preserve">  (((0.24+0.19)/2/10)+7.6/100)/((25+50)/2)*</t>
    <phoneticPr fontId="3" type="noConversion"/>
  </si>
  <si>
    <t>아스팔트디스트리뷰티(종자살포기)</t>
    <phoneticPr fontId="3" type="noConversion"/>
  </si>
  <si>
    <t>3,000 L</t>
    <phoneticPr fontId="3" type="noConversion"/>
  </si>
  <si>
    <t>아스팔트 디스트리뷰티 [3,000 L]</t>
    <phoneticPr fontId="3" type="noConversion"/>
  </si>
  <si>
    <t>철망(PVC코팅)</t>
    <phoneticPr fontId="3" type="noConversion"/>
  </si>
  <si>
    <t>Coir-Net</t>
    <phoneticPr fontId="3" type="noConversion"/>
  </si>
  <si>
    <t>Φ5*20*20</t>
    <phoneticPr fontId="3" type="noConversion"/>
  </si>
  <si>
    <t>m2</t>
    <phoneticPr fontId="3" type="noConversion"/>
  </si>
  <si>
    <t>법면용</t>
    <phoneticPr fontId="3" type="noConversion"/>
  </si>
  <si>
    <t>종자(양잔디)</t>
    <phoneticPr fontId="3" type="noConversion"/>
  </si>
  <si>
    <t>비료</t>
    <phoneticPr fontId="3" type="noConversion"/>
  </si>
  <si>
    <t>복합(잔디용)</t>
    <phoneticPr fontId="3" type="noConversion"/>
  </si>
  <si>
    <t>피복양생제</t>
    <phoneticPr fontId="3" type="noConversion"/>
  </si>
  <si>
    <t>침식방지안정제</t>
    <phoneticPr fontId="3" type="noConversion"/>
  </si>
  <si>
    <t>제지펄프</t>
    <phoneticPr fontId="3" type="noConversion"/>
  </si>
  <si>
    <t>색  소</t>
    <phoneticPr fontId="3" type="noConversion"/>
  </si>
  <si>
    <t>M-GREEN</t>
    <phoneticPr fontId="3" type="noConversion"/>
  </si>
  <si>
    <t>합성접착제</t>
    <phoneticPr fontId="3" type="noConversion"/>
  </si>
  <si>
    <t>엔진</t>
    <phoneticPr fontId="3" type="noConversion"/>
  </si>
  <si>
    <t>D50-2Hx10</t>
    <phoneticPr fontId="3" type="noConversion"/>
  </si>
  <si>
    <t>건설용펌프 [ D50-2Hx10 ]</t>
    <phoneticPr fontId="3" type="noConversion"/>
  </si>
  <si>
    <t>건설용펌프</t>
    <phoneticPr fontId="3" type="noConversion"/>
  </si>
  <si>
    <t>엔진(가솔린) [ 2.5HP ]</t>
    <phoneticPr fontId="3" type="noConversion"/>
  </si>
  <si>
    <t>모 터 [ 2HP ]</t>
    <phoneticPr fontId="3" type="noConversion"/>
  </si>
  <si>
    <t>모터</t>
    <phoneticPr fontId="3" type="noConversion"/>
  </si>
  <si>
    <t>2 HP</t>
    <phoneticPr fontId="3" type="noConversion"/>
  </si>
  <si>
    <t>2.5 HP(가솔린)</t>
    <phoneticPr fontId="3" type="noConversion"/>
  </si>
  <si>
    <t>덤프트럭 [4.5Ton]</t>
    <phoneticPr fontId="3" type="noConversion"/>
  </si>
  <si>
    <t>4.5 Ton</t>
    <phoneticPr fontId="3" type="noConversion"/>
  </si>
  <si>
    <t>볏짚(거적) 녹화공사 M2당 단가 내역서(성토)</t>
    <phoneticPr fontId="45" type="noConversion"/>
  </si>
  <si>
    <t>명칭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</si>
  <si>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</si>
  <si>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</si>
  <si>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</si>
  <si>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</si>
  <si>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</si>
  <si>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</si>
  <si>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계</t>
    <phoneticPr fontId="3" type="noConversion"/>
  </si>
  <si>
    <t>단가</t>
    <phoneticPr fontId="3" type="noConversion"/>
  </si>
  <si>
    <t>금액</t>
    <phoneticPr fontId="3" type="noConversion"/>
  </si>
  <si>
    <t xml:space="preserve">단가 </t>
    <phoneticPr fontId="3" type="noConversion"/>
  </si>
  <si>
    <t xml:space="preserve"> 1. 볏짚(거적) 시공</t>
    <phoneticPr fontId="45" type="noConversion"/>
  </si>
  <si>
    <t>볏          짚</t>
    <phoneticPr fontId="45" type="noConversion"/>
  </si>
  <si>
    <t>100*100</t>
    <phoneticPr fontId="45" type="noConversion"/>
  </si>
  <si>
    <t>M2</t>
    <phoneticPr fontId="45" type="noConversion"/>
  </si>
  <si>
    <t>앙   카   핀</t>
    <phoneticPr fontId="45" type="noConversion"/>
  </si>
  <si>
    <t>L=20-30</t>
    <phoneticPr fontId="45" type="noConversion"/>
  </si>
  <si>
    <t>개</t>
    <phoneticPr fontId="45" type="noConversion"/>
  </si>
  <si>
    <t>비   닐   끈</t>
    <phoneticPr fontId="45" type="noConversion"/>
  </si>
  <si>
    <t xml:space="preserve">M </t>
    <phoneticPr fontId="45" type="noConversion"/>
  </si>
  <si>
    <t>설   치   비</t>
    <phoneticPr fontId="45" type="noConversion"/>
  </si>
  <si>
    <t>작업반장</t>
    <phoneticPr fontId="45" type="noConversion"/>
  </si>
  <si>
    <t>인</t>
    <phoneticPr fontId="45" type="noConversion"/>
  </si>
  <si>
    <t>특별인부</t>
    <phoneticPr fontId="45" type="noConversion"/>
  </si>
  <si>
    <t>보통인부</t>
    <phoneticPr fontId="45" type="noConversion"/>
  </si>
  <si>
    <t>소          계</t>
    <phoneticPr fontId="45" type="noConversion"/>
  </si>
  <si>
    <r>
      <t xml:space="preserve"> </t>
    </r>
    <r>
      <rPr>
        <sz val="11"/>
        <rFont val="돋움"/>
        <family val="3"/>
        <charset val="129"/>
      </rPr>
      <t>2</t>
    </r>
    <r>
      <rPr>
        <sz val="11"/>
        <rFont val="돋움"/>
        <family val="3"/>
        <charset val="129"/>
      </rPr>
      <t>. 종자기계파종(SEED SPRAY)</t>
    </r>
    <phoneticPr fontId="45" type="noConversion"/>
  </si>
  <si>
    <t>종          자</t>
    <phoneticPr fontId="45" type="noConversion"/>
  </si>
  <si>
    <t>양잔디혼합</t>
    <phoneticPr fontId="45" type="noConversion"/>
  </si>
  <si>
    <t>G</t>
    <phoneticPr fontId="45" type="noConversion"/>
  </si>
  <si>
    <t>피 복 양 생 제</t>
    <phoneticPr fontId="45" type="noConversion"/>
  </si>
  <si>
    <t>제지펄프</t>
    <phoneticPr fontId="45" type="noConversion"/>
  </si>
  <si>
    <t>침식방지안정제</t>
    <phoneticPr fontId="45" type="noConversion"/>
  </si>
  <si>
    <t>CMC접착제</t>
    <phoneticPr fontId="45" type="noConversion"/>
  </si>
  <si>
    <t>비          료</t>
    <phoneticPr fontId="45" type="noConversion"/>
  </si>
  <si>
    <t>복 합</t>
    <phoneticPr fontId="45" type="noConversion"/>
  </si>
  <si>
    <t>색          소</t>
    <phoneticPr fontId="45" type="noConversion"/>
  </si>
  <si>
    <t>M-GREEN</t>
    <phoneticPr fontId="45" type="noConversion"/>
  </si>
  <si>
    <t>살   포   공</t>
    <phoneticPr fontId="45" type="noConversion"/>
  </si>
  <si>
    <t>종 자 살 포 기</t>
    <phoneticPr fontId="45" type="noConversion"/>
  </si>
  <si>
    <t>HR</t>
    <phoneticPr fontId="45" type="noConversion"/>
  </si>
  <si>
    <t>물 탱 크 펌 프</t>
    <phoneticPr fontId="45" type="noConversion"/>
  </si>
  <si>
    <t>5,500 L</t>
    <phoneticPr fontId="45" type="noConversion"/>
  </si>
  <si>
    <t xml:space="preserve">   *  정부부서에 따라 설계내용이 다를수 있으며 물가변동으로 단가에 차이가 있을수 있음.</t>
    <phoneticPr fontId="45" type="noConversion"/>
  </si>
  <si>
    <t>합          계</t>
    <phoneticPr fontId="45" type="noConversion"/>
  </si>
  <si>
    <t>(제세공과잡비 별도)</t>
    <phoneticPr fontId="45" type="noConversion"/>
  </si>
  <si>
    <t xml:space="preserve">  풍     록     원</t>
    <phoneticPr fontId="45" type="noConversion"/>
  </si>
  <si>
    <t>볏짚(거적) 녹화공사 M2당 단가 내역서(절토)</t>
    <phoneticPr fontId="45" type="noConversion"/>
  </si>
  <si>
    <t>볏         짚</t>
    <phoneticPr fontId="45" type="noConversion"/>
  </si>
  <si>
    <t>볏집</t>
    <phoneticPr fontId="3" type="noConversion"/>
  </si>
  <si>
    <t>M2</t>
  </si>
  <si>
    <t>M2</t>
    <phoneticPr fontId="3" type="noConversion"/>
  </si>
  <si>
    <t>앙카핀</t>
    <phoneticPr fontId="3" type="noConversion"/>
  </si>
  <si>
    <t>L=20~30</t>
    <phoneticPr fontId="3" type="noConversion"/>
  </si>
  <si>
    <t>EA</t>
  </si>
  <si>
    <t>EA</t>
    <phoneticPr fontId="3" type="noConversion"/>
  </si>
  <si>
    <t>풍록원</t>
    <phoneticPr fontId="3" type="noConversion"/>
  </si>
  <si>
    <t>비닐끈</t>
    <phoneticPr fontId="3" type="noConversion"/>
  </si>
  <si>
    <t>M</t>
  </si>
  <si>
    <t>1. 앙카핀 및 착지핀 홀천공</t>
  </si>
  <si>
    <t>명칭</t>
  </si>
  <si>
    <t>수량</t>
  </si>
  <si>
    <t>합계</t>
  </si>
  <si>
    <t>단가</t>
  </si>
  <si>
    <t>금액</t>
  </si>
  <si>
    <t>발 전 기</t>
  </si>
  <si>
    <t>50KW</t>
  </si>
  <si>
    <t>HR</t>
  </si>
  <si>
    <t>착 암 공</t>
  </si>
  <si>
    <t>핸드드릴 및       비트손료</t>
  </si>
  <si>
    <t>PHD38</t>
  </si>
  <si>
    <t>품2.5%</t>
  </si>
  <si>
    <t>2. 앙카핀 및 착지핀 설치</t>
  </si>
  <si>
    <t>앙 카 핀</t>
  </si>
  <si>
    <t>Ø16,L0.5</t>
  </si>
  <si>
    <t>착 지 핀</t>
  </si>
  <si>
    <t>Ø16,L0.35</t>
  </si>
  <si>
    <t>3. 부착망 설치</t>
  </si>
  <si>
    <t>부 착 망</t>
  </si>
  <si>
    <t>Ø3.2 58*58</t>
  </si>
  <si>
    <t>철    선</t>
  </si>
  <si>
    <t>#8PVC코팅</t>
  </si>
  <si>
    <t>4. 취 부 공</t>
  </si>
  <si>
    <t>녹 양 토</t>
  </si>
  <si>
    <t>M3</t>
  </si>
  <si>
    <t>종    자</t>
  </si>
  <si>
    <t>혼합종자</t>
  </si>
  <si>
    <t>G</t>
  </si>
  <si>
    <t>취 부 기</t>
  </si>
  <si>
    <t>25L</t>
  </si>
  <si>
    <t>공기압축기</t>
  </si>
  <si>
    <t>21M3/MIN</t>
  </si>
  <si>
    <t>크레인</t>
  </si>
  <si>
    <t>5TON</t>
  </si>
  <si>
    <t>물 탱 크</t>
  </si>
  <si>
    <t>5,500L</t>
  </si>
  <si>
    <t>6TON</t>
  </si>
  <si>
    <t>기 계 공</t>
  </si>
  <si>
    <t>잡재료비</t>
  </si>
  <si>
    <t>재료비의3%</t>
  </si>
  <si>
    <t>기구손료</t>
  </si>
  <si>
    <t>노무비의2%</t>
  </si>
  <si>
    <t>* 20M 이하 기준임. 높이별 할증은 별도 적용함.</t>
  </si>
  <si>
    <t>총    계</t>
  </si>
  <si>
    <t>주식회사  풍   록   원</t>
  </si>
  <si>
    <t>Ø19,L0.5</t>
  </si>
  <si>
    <t>공    종</t>
  </si>
  <si>
    <t>식</t>
  </si>
  <si>
    <t>조경공</t>
    <phoneticPr fontId="3" type="noConversion"/>
  </si>
  <si>
    <t>인</t>
    <phoneticPr fontId="3" type="noConversion"/>
  </si>
  <si>
    <t>D13,600mm</t>
    <phoneticPr fontId="3" type="noConversion"/>
  </si>
  <si>
    <t>kg</t>
    <phoneticPr fontId="3" type="noConversion"/>
  </si>
  <si>
    <t>앵  커</t>
    <phoneticPr fontId="3" type="noConversion"/>
  </si>
  <si>
    <t>Φ22,L=0.5m</t>
    <phoneticPr fontId="3" type="noConversion"/>
  </si>
  <si>
    <t>Φ22,L=1.0m</t>
    <phoneticPr fontId="3" type="noConversion"/>
  </si>
  <si>
    <t>풍록원</t>
    <phoneticPr fontId="3" type="noConversion"/>
  </si>
  <si>
    <t>클  립</t>
    <phoneticPr fontId="3" type="noConversion"/>
  </si>
  <si>
    <t>5/8,3/4</t>
    <phoneticPr fontId="3" type="noConversion"/>
  </si>
  <si>
    <t>결속선</t>
    <phoneticPr fontId="3" type="noConversion"/>
  </si>
  <si>
    <t>50-40(PVC코팅)</t>
    <phoneticPr fontId="3" type="noConversion"/>
  </si>
  <si>
    <t>크레인</t>
    <phoneticPr fontId="3" type="noConversion"/>
  </si>
  <si>
    <t>공기 압축기(이동식)</t>
    <phoneticPr fontId="3" type="noConversion"/>
  </si>
  <si>
    <t>착암기</t>
    <phoneticPr fontId="3" type="noConversion"/>
  </si>
  <si>
    <t>50 Ton</t>
    <phoneticPr fontId="3" type="noConversion"/>
  </si>
  <si>
    <t>10.3 m3/min</t>
    <phoneticPr fontId="3" type="noConversion"/>
  </si>
  <si>
    <t>2.7 m3/min</t>
    <phoneticPr fontId="3" type="noConversion"/>
  </si>
  <si>
    <t>크레인 [50 TON]</t>
    <phoneticPr fontId="3" type="noConversion"/>
  </si>
  <si>
    <t>조    장</t>
    <phoneticPr fontId="3" type="noConversion"/>
  </si>
  <si>
    <t>착 암 기 [2.7m3/min]</t>
    <phoneticPr fontId="3" type="noConversion"/>
  </si>
  <si>
    <t>공기압축기(이동식)[10.3 m3/min 365cfm]</t>
    <phoneticPr fontId="3" type="noConversion"/>
  </si>
  <si>
    <t>비계공</t>
    <phoneticPr fontId="3" type="noConversion"/>
  </si>
  <si>
    <t>1. 앙카핀 및 착지핀 홀천공</t>
    <phoneticPr fontId="3" type="noConversion"/>
  </si>
  <si>
    <t>50KW</t>
    <phoneticPr fontId="3" type="noConversion"/>
  </si>
  <si>
    <t>착 암 공</t>
    <phoneticPr fontId="3" type="noConversion"/>
  </si>
  <si>
    <t>PHD38</t>
    <phoneticPr fontId="3" type="noConversion"/>
  </si>
  <si>
    <t>품2.5%</t>
    <phoneticPr fontId="3" type="noConversion"/>
  </si>
  <si>
    <t>2. 앙카핀 및 착지핀 설치</t>
    <phoneticPr fontId="3" type="noConversion"/>
  </si>
  <si>
    <t>앙 카 핀</t>
    <phoneticPr fontId="3" type="noConversion"/>
  </si>
  <si>
    <t>착 지 핀</t>
    <phoneticPr fontId="3" type="noConversion"/>
  </si>
  <si>
    <t>Ø16,L0.35</t>
    <phoneticPr fontId="3" type="noConversion"/>
  </si>
  <si>
    <t>3. 부착망 설치</t>
    <phoneticPr fontId="3" type="noConversion"/>
  </si>
  <si>
    <t>부 착 망</t>
    <phoneticPr fontId="3" type="noConversion"/>
  </si>
  <si>
    <t>철    선</t>
    <phoneticPr fontId="3" type="noConversion"/>
  </si>
  <si>
    <t>#8PVC코팅</t>
    <phoneticPr fontId="3" type="noConversion"/>
  </si>
  <si>
    <t>M3</t>
    <phoneticPr fontId="3" type="noConversion"/>
  </si>
  <si>
    <t>취 부 기</t>
    <phoneticPr fontId="3" type="noConversion"/>
  </si>
  <si>
    <t>크레인</t>
    <phoneticPr fontId="3" type="noConversion"/>
  </si>
  <si>
    <t>5TON</t>
    <phoneticPr fontId="3" type="noConversion"/>
  </si>
  <si>
    <t>구  분</t>
    <phoneticPr fontId="3" type="noConversion"/>
  </si>
  <si>
    <t>두   께</t>
    <phoneticPr fontId="3" type="noConversion"/>
  </si>
  <si>
    <t>비  고</t>
    <phoneticPr fontId="3" type="noConversion"/>
  </si>
  <si>
    <t>Cm</t>
    <phoneticPr fontId="3" type="noConversion"/>
  </si>
  <si>
    <t>구 분</t>
  </si>
  <si>
    <t>규 격</t>
  </si>
  <si>
    <t>단 위</t>
  </si>
  <si>
    <t>단 가</t>
  </si>
  <si>
    <t>수 량(ea)</t>
  </si>
  <si>
    <t>금 액(원)</t>
  </si>
  <si>
    <t>비 고</t>
  </si>
  <si>
    <t>TopsoiL</t>
  </si>
  <si>
    <t>TopsoiL 1호</t>
  </si>
  <si>
    <t>㎥</t>
  </si>
  <si>
    <t>12종</t>
  </si>
  <si>
    <t>g</t>
  </si>
  <si>
    <t>소 계</t>
  </si>
  <si>
    <t>매트(Greentop 1호:B형)</t>
  </si>
  <si>
    <t>W2.0×L25</t>
  </si>
  <si>
    <t>㎡</t>
  </si>
  <si>
    <t>고정핀</t>
  </si>
  <si>
    <t>D3×200</t>
  </si>
  <si>
    <t>개</t>
  </si>
  <si>
    <t>21㎡/min</t>
  </si>
  <si>
    <t>hr</t>
  </si>
  <si>
    <t>발전기</t>
  </si>
  <si>
    <t>50Kw</t>
  </si>
  <si>
    <t>탑재형 트럭크래인</t>
  </si>
  <si>
    <t>5ton</t>
  </si>
  <si>
    <t>5,500ℓ</t>
  </si>
  <si>
    <t>8ton</t>
  </si>
  <si>
    <t>탑재형트럭크래인</t>
  </si>
  <si>
    <t>6ton</t>
  </si>
  <si>
    <t>합 계</t>
  </si>
  <si>
    <t>TopsoiL 2호/3호</t>
  </si>
  <si>
    <t>매트(Greentop 2호:B형)</t>
  </si>
  <si>
    <t>앙카핀</t>
  </si>
  <si>
    <t>D16×500</t>
  </si>
  <si>
    <t>착지핀</t>
  </si>
  <si>
    <t>D16×350</t>
  </si>
  <si>
    <t>능형코팅망</t>
  </si>
  <si>
    <t>D3.2㎜,58×58</t>
  </si>
  <si>
    <t>결속선</t>
  </si>
  <si>
    <t>＃8 PVC 코팅</t>
  </si>
  <si>
    <t>m</t>
  </si>
  <si>
    <t>탑쏘일 1호 : T=5cm</t>
    <phoneticPr fontId="3" type="noConversion"/>
  </si>
  <si>
    <t>1. 식생기반재료</t>
    <phoneticPr fontId="3" type="noConversion"/>
  </si>
  <si>
    <t>2. 식생보조기반재료(매트)</t>
    <phoneticPr fontId="3" type="noConversion"/>
  </si>
  <si>
    <t>3.  핀설치</t>
    <phoneticPr fontId="3" type="noConversion"/>
  </si>
  <si>
    <t>4. TopsoiL 취부녹화</t>
    <phoneticPr fontId="3" type="noConversion"/>
  </si>
  <si>
    <t>5. 취부/Greentop설치</t>
    <phoneticPr fontId="3" type="noConversion"/>
  </si>
  <si>
    <t>6. 기계경비</t>
    <phoneticPr fontId="3" type="noConversion"/>
  </si>
  <si>
    <t>탑쏘일 2호 : T=10cm</t>
    <phoneticPr fontId="3" type="noConversion"/>
  </si>
  <si>
    <t>4. 능형부착망 설치</t>
    <phoneticPr fontId="3" type="noConversion"/>
  </si>
  <si>
    <t>5. TopsoiL 취부녹화</t>
    <phoneticPr fontId="3" type="noConversion"/>
  </si>
  <si>
    <t>6. 취부/Greentop설치</t>
    <phoneticPr fontId="3" type="noConversion"/>
  </si>
  <si>
    <t>7. 기계경비</t>
    <phoneticPr fontId="3" type="noConversion"/>
  </si>
  <si>
    <t>탑쏘일 3호 : T=15cm</t>
    <phoneticPr fontId="3" type="noConversion"/>
  </si>
  <si>
    <t>구  분</t>
    <phoneticPr fontId="3" type="noConversion"/>
  </si>
  <si>
    <t>경질토/강마사</t>
    <phoneticPr fontId="3" type="noConversion"/>
  </si>
  <si>
    <t>리핑/풍화암</t>
    <phoneticPr fontId="3" type="noConversion"/>
  </si>
  <si>
    <t>연암/발파암</t>
    <phoneticPr fontId="3" type="noConversion"/>
  </si>
  <si>
    <t>탑쏘일1호 : 5cm</t>
    <phoneticPr fontId="3" type="noConversion"/>
  </si>
  <si>
    <t>탑쏘일2호 : 10cm</t>
    <phoneticPr fontId="3" type="noConversion"/>
  </si>
  <si>
    <t>탑쏘일3호 : 15cm</t>
    <phoneticPr fontId="3" type="noConversion"/>
  </si>
  <si>
    <t>적 용 두 께</t>
    <phoneticPr fontId="3" type="noConversion"/>
  </si>
  <si>
    <t>구 분</t>
    <phoneticPr fontId="3" type="noConversion"/>
  </si>
  <si>
    <t>적용 두께</t>
    <phoneticPr fontId="3" type="noConversion"/>
  </si>
  <si>
    <t>단가(\/m2)</t>
    <phoneticPr fontId="3" type="noConversion"/>
  </si>
  <si>
    <t>비 고</t>
    <phoneticPr fontId="3" type="noConversion"/>
  </si>
  <si>
    <t>수 량</t>
    <phoneticPr fontId="53" type="noConversion"/>
  </si>
  <si>
    <t>경    비</t>
    <phoneticPr fontId="53" type="noConversion"/>
  </si>
  <si>
    <t>합  계</t>
    <phoneticPr fontId="53" type="noConversion"/>
  </si>
  <si>
    <t>단 가</t>
    <phoneticPr fontId="53" type="noConversion"/>
  </si>
  <si>
    <t>금 액</t>
    <phoneticPr fontId="53" type="noConversion"/>
  </si>
  <si>
    <t>덤프트럭</t>
    <phoneticPr fontId="53" type="noConversion"/>
  </si>
  <si>
    <t>Spray형</t>
    <phoneticPr fontId="3" type="noConversion"/>
  </si>
  <si>
    <t>T = 1cm</t>
    <phoneticPr fontId="3" type="noConversion"/>
  </si>
  <si>
    <t>T = 2cm</t>
    <phoneticPr fontId="3" type="noConversion"/>
  </si>
  <si>
    <t>종     자</t>
    <phoneticPr fontId="53" type="noConversion"/>
  </si>
  <si>
    <t>10종이상</t>
    <phoneticPr fontId="53" type="noConversion"/>
  </si>
  <si>
    <t>KG</t>
    <phoneticPr fontId="53" type="noConversion"/>
  </si>
  <si>
    <t>고분자수지</t>
    <phoneticPr fontId="53" type="noConversion"/>
  </si>
  <si>
    <t>생육보조재</t>
    <phoneticPr fontId="53" type="noConversion"/>
  </si>
  <si>
    <t>CODRA 30</t>
    <phoneticPr fontId="53" type="noConversion"/>
  </si>
  <si>
    <t>천연면네트</t>
    <phoneticPr fontId="53" type="noConversion"/>
  </si>
  <si>
    <t>35x45mm</t>
    <phoneticPr fontId="53" type="noConversion"/>
  </si>
  <si>
    <t>m2</t>
    <phoneticPr fontId="53" type="noConversion"/>
  </si>
  <si>
    <t>고 정 핀</t>
    <phoneticPr fontId="53" type="noConversion"/>
  </si>
  <si>
    <t>D3x150mm</t>
    <phoneticPr fontId="53" type="noConversion"/>
  </si>
  <si>
    <t>EA</t>
    <phoneticPr fontId="53" type="noConversion"/>
  </si>
  <si>
    <t>기 계 공</t>
    <phoneticPr fontId="53" type="noConversion"/>
  </si>
  <si>
    <t>8 TON</t>
    <phoneticPr fontId="53" type="noConversion"/>
  </si>
  <si>
    <t>믹서와취부기</t>
    <phoneticPr fontId="53" type="noConversion"/>
  </si>
  <si>
    <t>0.3m3/16HP</t>
    <phoneticPr fontId="53" type="noConversion"/>
  </si>
  <si>
    <t>총 계</t>
    <phoneticPr fontId="53" type="noConversion"/>
  </si>
  <si>
    <t>원지반식생정착공 ( Spray형 ) - m2당</t>
    <phoneticPr fontId="53" type="noConversion"/>
  </si>
  <si>
    <t>원지반식생정착공 ( T = 1 cm ) - m2당</t>
    <phoneticPr fontId="53" type="noConversion"/>
  </si>
  <si>
    <t>총  계</t>
    <phoneticPr fontId="53" type="noConversion"/>
  </si>
  <si>
    <t>CODRA 20</t>
    <phoneticPr fontId="53" type="noConversion"/>
  </si>
  <si>
    <t>원지반식생정착공 ( T = 2 cm ) - m2당</t>
    <phoneticPr fontId="53" type="noConversion"/>
  </si>
  <si>
    <t>CODRA 10</t>
    <phoneticPr fontId="53" type="noConversion"/>
  </si>
  <si>
    <t>두   께</t>
    <phoneticPr fontId="3" type="noConversion"/>
  </si>
  <si>
    <t>단  가(\/m2)</t>
    <phoneticPr fontId="3" type="noConversion"/>
  </si>
  <si>
    <t>비  고</t>
    <phoneticPr fontId="3" type="noConversion"/>
  </si>
  <si>
    <t>금  비  토 일위대가표 (T=10cm)</t>
    <phoneticPr fontId="3" type="noConversion"/>
  </si>
  <si>
    <t>천공품의</t>
    <phoneticPr fontId="3" type="noConversion"/>
  </si>
  <si>
    <t>잡재료비</t>
    <phoneticPr fontId="3" type="noConversion"/>
  </si>
  <si>
    <t>공구손료</t>
    <phoneticPr fontId="3" type="noConversion"/>
  </si>
  <si>
    <t>금 비 토</t>
    <phoneticPr fontId="3" type="noConversion"/>
  </si>
  <si>
    <t>비탈면녹화용</t>
    <phoneticPr fontId="3" type="noConversion"/>
  </si>
  <si>
    <t>크 레 인</t>
    <phoneticPr fontId="3" type="noConversion"/>
  </si>
  <si>
    <t>금  비  토 일위대가표 (T=15cm)</t>
    <phoneticPr fontId="3" type="noConversion"/>
  </si>
  <si>
    <t>초본형</t>
    <phoneticPr fontId="3" type="noConversion"/>
  </si>
  <si>
    <t>야생초화류형</t>
    <phoneticPr fontId="3" type="noConversion"/>
  </si>
  <si>
    <t>관목형</t>
    <phoneticPr fontId="3" type="noConversion"/>
  </si>
  <si>
    <t>수림형</t>
    <phoneticPr fontId="3" type="noConversion"/>
  </si>
  <si>
    <t>고정핀(철근)</t>
    <phoneticPr fontId="3" type="noConversion"/>
  </si>
  <si>
    <r>
      <t>11.0 시중노임단가(</t>
    </r>
    <r>
      <rPr>
        <sz val="12"/>
        <color indexed="10"/>
        <rFont val="돋움"/>
        <family val="3"/>
        <charset val="129"/>
      </rPr>
      <t>'10년 상반기</t>
    </r>
    <r>
      <rPr>
        <b/>
        <sz val="14"/>
        <rFont val="돋움"/>
        <family val="3"/>
        <charset val="129"/>
      </rPr>
      <t>)</t>
    </r>
    <phoneticPr fontId="3" type="noConversion"/>
  </si>
  <si>
    <t>2010 상반기</t>
    <phoneticPr fontId="3" type="noConversion"/>
  </si>
  <si>
    <t>D10~16-250mm</t>
    <phoneticPr fontId="3" type="noConversion"/>
  </si>
  <si>
    <t>착지핀(철근)</t>
    <phoneticPr fontId="3" type="noConversion"/>
  </si>
  <si>
    <t>D10~16-250mm</t>
    <phoneticPr fontId="3" type="noConversion"/>
  </si>
  <si>
    <t>자연생태복원(JSB)공[SEED형]</t>
    <phoneticPr fontId="3" type="noConversion"/>
  </si>
  <si>
    <t>자연생태복원(JSB)공[무망 2Cm]</t>
    <phoneticPr fontId="3" type="noConversion"/>
  </si>
  <si>
    <t>자연생태복원(JSB)공[섬유망 3Cm]</t>
    <phoneticPr fontId="3" type="noConversion"/>
  </si>
  <si>
    <t>자연생태복원(JSB)공[섬유망 5Cm]</t>
    <phoneticPr fontId="3" type="noConversion"/>
  </si>
  <si>
    <t>자연생태복원(JSB)공[섬유망 7Cm]</t>
    <phoneticPr fontId="3" type="noConversion"/>
  </si>
  <si>
    <t>자연생태복원(JSB)공[철망 5Cm]</t>
    <phoneticPr fontId="3" type="noConversion"/>
  </si>
  <si>
    <t>자연생태복원(JSB)공[철망 7Cm]</t>
    <phoneticPr fontId="3" type="noConversion"/>
  </si>
  <si>
    <t>자연생태복원(JSB)공[철망 10Cm]</t>
    <phoneticPr fontId="3" type="noConversion"/>
  </si>
  <si>
    <t>자연생태복원(JSB)공[철망 12Cm]</t>
    <phoneticPr fontId="3" type="noConversion"/>
  </si>
  <si>
    <t>섬유망 7Cm</t>
    <phoneticPr fontId="3" type="noConversion"/>
  </si>
  <si>
    <t>철  망 5Cm</t>
    <phoneticPr fontId="3" type="noConversion"/>
  </si>
  <si>
    <t>철  망 10Cm</t>
    <phoneticPr fontId="3" type="noConversion"/>
  </si>
  <si>
    <t>철  망 12Cm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</si>
  <si>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</si>
  <si>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</si>
  <si>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</si>
  <si>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</si>
  <si>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</si>
  <si>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</si>
  <si>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</si>
  <si>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</si>
  <si>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</si>
  <si>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</si>
  <si>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</si>
  <si>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1.고정핀및착지핀 천공</t>
    <phoneticPr fontId="3" type="noConversion"/>
  </si>
  <si>
    <t>발전기</t>
    <phoneticPr fontId="8" type="noConversion"/>
  </si>
  <si>
    <t>HR</t>
    <phoneticPr fontId="3" type="noConversion"/>
  </si>
  <si>
    <t>착암공</t>
    <phoneticPr fontId="8" type="noConversion"/>
  </si>
  <si>
    <t>인</t>
    <phoneticPr fontId="3" type="noConversion"/>
  </si>
  <si>
    <t>보통인부</t>
    <phoneticPr fontId="8" type="noConversion"/>
  </si>
  <si>
    <t>드릴비트및손료</t>
    <phoneticPr fontId="8" type="noConversion"/>
  </si>
  <si>
    <t>노무비의</t>
    <phoneticPr fontId="3" type="noConversion"/>
  </si>
  <si>
    <t>%</t>
    <phoneticPr fontId="3" type="noConversion"/>
  </si>
  <si>
    <t>소    계</t>
    <phoneticPr fontId="3" type="noConversion"/>
  </si>
  <si>
    <t>2.고정핀및착지핀 설치</t>
    <phoneticPr fontId="3" type="noConversion"/>
  </si>
  <si>
    <t>고정핀</t>
    <phoneticPr fontId="3" type="noConversion"/>
  </si>
  <si>
    <t>EA</t>
    <phoneticPr fontId="3" type="noConversion"/>
  </si>
  <si>
    <t>착지핀</t>
    <phoneticPr fontId="3" type="noConversion"/>
  </si>
  <si>
    <t>D16-250mm</t>
    <phoneticPr fontId="3" type="noConversion"/>
  </si>
  <si>
    <t>특별인부</t>
    <phoneticPr fontId="3" type="noConversion"/>
  </si>
  <si>
    <t>보통인부</t>
    <phoneticPr fontId="3" type="noConversion"/>
  </si>
  <si>
    <t>3.부착망설치</t>
    <phoneticPr fontId="3" type="noConversion"/>
  </si>
  <si>
    <t>부착망</t>
    <phoneticPr fontId="8" type="noConversion"/>
  </si>
  <si>
    <t>#10,58*58,PVC</t>
    <phoneticPr fontId="8" type="noConversion"/>
  </si>
  <si>
    <t>㎡</t>
    <phoneticPr fontId="8" type="noConversion"/>
  </si>
  <si>
    <t>철선</t>
    <phoneticPr fontId="8" type="noConversion"/>
  </si>
  <si>
    <t>#8,PVC코팅</t>
    <phoneticPr fontId="8" type="noConversion"/>
  </si>
  <si>
    <t>M</t>
    <phoneticPr fontId="8" type="noConversion"/>
  </si>
  <si>
    <t>작업반장</t>
    <phoneticPr fontId="3" type="noConversion"/>
  </si>
  <si>
    <t>4. 취 부 공</t>
    <phoneticPr fontId="3" type="noConversion"/>
  </si>
  <si>
    <t>KG</t>
    <phoneticPr fontId="3" type="noConversion"/>
  </si>
  <si>
    <t>트러탑재크레인</t>
    <phoneticPr fontId="3" type="noConversion"/>
  </si>
  <si>
    <t>5.0 TON</t>
    <phoneticPr fontId="3" type="noConversion"/>
  </si>
  <si>
    <t>물 탱 크</t>
    <phoneticPr fontId="3" type="noConversion"/>
  </si>
  <si>
    <t>5,500L</t>
    <phoneticPr fontId="3" type="noConversion"/>
  </si>
  <si>
    <t>덤프트럭</t>
    <phoneticPr fontId="3" type="noConversion"/>
  </si>
  <si>
    <t>기 계 공</t>
    <phoneticPr fontId="3" type="noConversion"/>
  </si>
  <si>
    <t>총    계</t>
    <phoneticPr fontId="3" type="noConversion"/>
  </si>
  <si>
    <t>발 전 기 [ 50 KW ]</t>
    <phoneticPr fontId="3" type="noConversion"/>
  </si>
  <si>
    <t>공기압축기(이동식)[21.0m3/min 742cfm]</t>
    <phoneticPr fontId="3" type="noConversion"/>
  </si>
  <si>
    <t>50kw</t>
    <phoneticPr fontId="3" type="noConversion"/>
  </si>
  <si>
    <t>21.0 m3/min</t>
    <phoneticPr fontId="3" type="noConversion"/>
  </si>
  <si>
    <t>50KW</t>
    <phoneticPr fontId="8" type="noConversion"/>
  </si>
  <si>
    <t>D16-350mm</t>
    <phoneticPr fontId="3" type="noConversion"/>
  </si>
  <si>
    <t>잡재료비</t>
    <phoneticPr fontId="3" type="noConversion"/>
  </si>
  <si>
    <t>제료비의 %</t>
    <phoneticPr fontId="3" type="noConversion"/>
  </si>
  <si>
    <t>기구손료</t>
    <phoneticPr fontId="3" type="noConversion"/>
  </si>
  <si>
    <t>인건비의 %</t>
    <phoneticPr fontId="3" type="noConversion"/>
  </si>
  <si>
    <t>NGR Seed</t>
    <phoneticPr fontId="3" type="noConversion"/>
  </si>
  <si>
    <t>10종이상</t>
    <phoneticPr fontId="3" type="noConversion"/>
  </si>
  <si>
    <t>NGR Spring</t>
    <phoneticPr fontId="3" type="noConversion"/>
  </si>
  <si>
    <t>Seed대체</t>
    <phoneticPr fontId="3" type="noConversion"/>
  </si>
  <si>
    <t>NGR Pot</t>
    <phoneticPr fontId="3" type="noConversion"/>
  </si>
  <si>
    <t>선택사양</t>
    <phoneticPr fontId="3" type="noConversion"/>
  </si>
  <si>
    <t>본</t>
    <phoneticPr fontId="3" type="noConversion"/>
  </si>
  <si>
    <t>식생기반재</t>
    <phoneticPr fontId="3" type="noConversion"/>
  </si>
  <si>
    <t>식생보조재</t>
    <phoneticPr fontId="3" type="noConversion"/>
  </si>
  <si>
    <t>NGR soil-40</t>
    <phoneticPr fontId="3" type="noConversion"/>
  </si>
  <si>
    <t>NGR soilplus</t>
    <phoneticPr fontId="3" type="noConversion"/>
  </si>
  <si>
    <t>믹스및취부기</t>
    <phoneticPr fontId="3" type="noConversion"/>
  </si>
  <si>
    <t>MnS2</t>
    <phoneticPr fontId="3" type="noConversion"/>
  </si>
  <si>
    <t>덤프트럭 [ 8.0 Ton ]</t>
    <phoneticPr fontId="3" type="noConversion"/>
  </si>
  <si>
    <t>8.0 Ton</t>
    <phoneticPr fontId="3" type="noConversion"/>
  </si>
  <si>
    <t>8.0 TON</t>
    <phoneticPr fontId="3" type="noConversion"/>
  </si>
  <si>
    <t>계</t>
    <phoneticPr fontId="3" type="noConversion"/>
  </si>
  <si>
    <t>계</t>
    <phoneticPr fontId="3" type="noConversion"/>
  </si>
  <si>
    <t>NGR 철망 4T</t>
    <phoneticPr fontId="3" type="noConversion"/>
  </si>
  <si>
    <t>본</t>
    <phoneticPr fontId="3" type="noConversion"/>
  </si>
  <si>
    <t>NGR 철망 5T</t>
    <phoneticPr fontId="3" type="noConversion"/>
  </si>
  <si>
    <t>NGR soil-50</t>
    <phoneticPr fontId="3" type="noConversion"/>
  </si>
  <si>
    <t>식생네트</t>
    <phoneticPr fontId="3" type="noConversion"/>
  </si>
  <si>
    <t>천연면네트(20x20)</t>
    <phoneticPr fontId="3" type="noConversion"/>
  </si>
  <si>
    <t>L-200</t>
    <phoneticPr fontId="3" type="noConversion"/>
  </si>
  <si>
    <t>NGR soil-30</t>
    <phoneticPr fontId="3" type="noConversion"/>
  </si>
  <si>
    <t>NGR 천연섬유망 3T</t>
    <phoneticPr fontId="3" type="noConversion"/>
  </si>
  <si>
    <t>NGR 천연섬유망 2T</t>
    <phoneticPr fontId="3" type="noConversion"/>
  </si>
  <si>
    <t>NGR soil-20</t>
    <phoneticPr fontId="3" type="noConversion"/>
  </si>
  <si>
    <t>NGR 천연섬유망 1T</t>
    <phoneticPr fontId="3" type="noConversion"/>
  </si>
  <si>
    <t>NGR soil-10</t>
    <phoneticPr fontId="3" type="noConversion"/>
  </si>
  <si>
    <t>천연넷(20x20)</t>
    <phoneticPr fontId="3" type="noConversion"/>
  </si>
  <si>
    <t>NGR 코아네트 Seed</t>
    <phoneticPr fontId="3" type="noConversion"/>
  </si>
  <si>
    <t>1.코아네트망설치</t>
    <phoneticPr fontId="3" type="noConversion"/>
  </si>
  <si>
    <t>코아네트</t>
    <phoneticPr fontId="3" type="noConversion"/>
  </si>
  <si>
    <t>코아넷(20x20)</t>
    <phoneticPr fontId="3" type="noConversion"/>
  </si>
  <si>
    <t>코아네트(20x20)</t>
    <phoneticPr fontId="3" type="noConversion"/>
  </si>
  <si>
    <t>NGR soil-S</t>
    <phoneticPr fontId="3" type="noConversion"/>
  </si>
  <si>
    <t>NGR soilplus-S</t>
    <phoneticPr fontId="3" type="noConversion"/>
  </si>
  <si>
    <t>코아넷SEED</t>
    <phoneticPr fontId="3" type="noConversion"/>
  </si>
  <si>
    <t>섬유망 1Cm</t>
    <phoneticPr fontId="3" type="noConversion"/>
  </si>
  <si>
    <t>섬유망 2Cm</t>
    <phoneticPr fontId="3" type="noConversion"/>
  </si>
  <si>
    <t>섬유망 3Cm</t>
    <phoneticPr fontId="3" type="noConversion"/>
  </si>
  <si>
    <t>철  망 4Cm</t>
    <phoneticPr fontId="3" type="noConversion"/>
  </si>
  <si>
    <t>발파암</t>
    <phoneticPr fontId="3" type="noConversion"/>
  </si>
  <si>
    <t>연암</t>
    <phoneticPr fontId="3" type="noConversion"/>
  </si>
  <si>
    <t>리핑암</t>
    <phoneticPr fontId="3" type="noConversion"/>
  </si>
  <si>
    <t>절토</t>
    <phoneticPr fontId="3" type="noConversion"/>
  </si>
  <si>
    <t>성토</t>
    <phoneticPr fontId="3" type="noConversion"/>
  </si>
  <si>
    <t>마사경질</t>
    <phoneticPr fontId="3" type="noConversion"/>
  </si>
  <si>
    <t>수림형</t>
    <phoneticPr fontId="3" type="noConversion"/>
  </si>
  <si>
    <t>초화류</t>
    <phoneticPr fontId="3" type="noConversion"/>
  </si>
  <si>
    <t>단     가</t>
    <phoneticPr fontId="3" type="noConversion"/>
  </si>
  <si>
    <t>관목형(표준)</t>
    <phoneticPr fontId="3" type="noConversion"/>
  </si>
  <si>
    <t>※ 건교부 "비탈면녹화 잠정지침안"의 종자배합기준의</t>
    <phoneticPr fontId="3" type="noConversion"/>
  </si>
  <si>
    <t xml:space="preserve">    종자적용에 따른 적용단가 입니다</t>
    <phoneticPr fontId="3" type="noConversion"/>
  </si>
  <si>
    <t>비고</t>
    <phoneticPr fontId="3" type="noConversion"/>
  </si>
  <si>
    <t xml:space="preserve">단가 </t>
    <phoneticPr fontId="3" type="noConversion"/>
  </si>
  <si>
    <t xml:space="preserve"> 1. 코아(COIR NET) </t>
    <phoneticPr fontId="45" type="noConversion"/>
  </si>
  <si>
    <t>코 아 네 트</t>
    <phoneticPr fontId="3" type="noConversion"/>
  </si>
  <si>
    <t>M2</t>
    <phoneticPr fontId="45" type="noConversion"/>
  </si>
  <si>
    <t>앙   카   핀</t>
    <phoneticPr fontId="45" type="noConversion"/>
  </si>
  <si>
    <t>L=20-50</t>
    <phoneticPr fontId="45" type="noConversion"/>
  </si>
  <si>
    <t>개</t>
    <phoneticPr fontId="45" type="noConversion"/>
  </si>
  <si>
    <t>잡   재   료</t>
    <phoneticPr fontId="3" type="noConversion"/>
  </si>
  <si>
    <t>재료비의3%</t>
    <phoneticPr fontId="3" type="noConversion"/>
  </si>
  <si>
    <t>식</t>
    <phoneticPr fontId="45" type="noConversion"/>
  </si>
  <si>
    <t>설   치   비</t>
    <phoneticPr fontId="45" type="noConversion"/>
  </si>
  <si>
    <t>작업반장</t>
    <phoneticPr fontId="45" type="noConversion"/>
  </si>
  <si>
    <t>인</t>
    <phoneticPr fontId="45" type="noConversion"/>
  </si>
  <si>
    <t>특별인부</t>
    <phoneticPr fontId="45" type="noConversion"/>
  </si>
  <si>
    <t>보통인부</t>
    <phoneticPr fontId="45" type="noConversion"/>
  </si>
  <si>
    <t>소          계</t>
    <phoneticPr fontId="45" type="noConversion"/>
  </si>
  <si>
    <t xml:space="preserve"> 2. 종자기계파종(SEED SPRAY)</t>
    <phoneticPr fontId="45" type="noConversion"/>
  </si>
  <si>
    <t>종          자</t>
    <phoneticPr fontId="45" type="noConversion"/>
  </si>
  <si>
    <t>양잔디혼합</t>
    <phoneticPr fontId="45" type="noConversion"/>
  </si>
  <si>
    <t>G</t>
    <phoneticPr fontId="45" type="noConversion"/>
  </si>
  <si>
    <t>피 복 양 생 제</t>
    <phoneticPr fontId="45" type="noConversion"/>
  </si>
  <si>
    <t>제지펄프</t>
    <phoneticPr fontId="45" type="noConversion"/>
  </si>
  <si>
    <t>침식방지안정제</t>
    <phoneticPr fontId="45" type="noConversion"/>
  </si>
  <si>
    <t>CMC접착제</t>
    <phoneticPr fontId="45" type="noConversion"/>
  </si>
  <si>
    <t>비          료</t>
    <phoneticPr fontId="45" type="noConversion"/>
  </si>
  <si>
    <t>복 합</t>
    <phoneticPr fontId="45" type="noConversion"/>
  </si>
  <si>
    <t>색          소</t>
    <phoneticPr fontId="45" type="noConversion"/>
  </si>
  <si>
    <t>M-GREEN</t>
    <phoneticPr fontId="45" type="noConversion"/>
  </si>
  <si>
    <t>살   포   공</t>
    <phoneticPr fontId="45" type="noConversion"/>
  </si>
  <si>
    <t>종 자 살 포 기</t>
    <phoneticPr fontId="45" type="noConversion"/>
  </si>
  <si>
    <t>HR</t>
    <phoneticPr fontId="45" type="noConversion"/>
  </si>
  <si>
    <t>물 탱 크 펌 프</t>
    <phoneticPr fontId="45" type="noConversion"/>
  </si>
  <si>
    <t>5,500 L</t>
    <phoneticPr fontId="45" type="noConversion"/>
  </si>
  <si>
    <t xml:space="preserve">   *  정부부서에 따라 설계내용이 다를수 있으며 물가변동으로 단가에 차이가 있을수 있음.</t>
    <phoneticPr fontId="45" type="noConversion"/>
  </si>
  <si>
    <t>합          계</t>
    <phoneticPr fontId="45" type="noConversion"/>
  </si>
  <si>
    <t>(제세공과잡비 별도)</t>
    <phoneticPr fontId="45" type="noConversion"/>
  </si>
  <si>
    <t xml:space="preserve"> 1. 코아네트(COIR NET) </t>
    <phoneticPr fontId="45" type="noConversion"/>
  </si>
  <si>
    <t>코 아 네 트</t>
    <phoneticPr fontId="45" type="noConversion"/>
  </si>
  <si>
    <t xml:space="preserve">  풍   록   원</t>
    <phoneticPr fontId="45" type="noConversion"/>
  </si>
  <si>
    <t>코아네트(COIR NET) 녹화공사 M2당 단가 내역서(절토)</t>
    <phoneticPr fontId="45" type="noConversion"/>
  </si>
  <si>
    <t>코아네트(COIR NET) 녹화공사 M2당 단가 내역서(성토)</t>
    <phoneticPr fontId="45" type="noConversion"/>
  </si>
  <si>
    <t>적용</t>
    <phoneticPr fontId="3" type="noConversion"/>
  </si>
  <si>
    <t>성토</t>
    <phoneticPr fontId="3" type="noConversion"/>
  </si>
  <si>
    <t>절토</t>
    <phoneticPr fontId="3" type="noConversion"/>
  </si>
  <si>
    <t>녹양토</t>
    <phoneticPr fontId="3" type="noConversion"/>
  </si>
  <si>
    <t>m3</t>
    <phoneticPr fontId="3" type="noConversion"/>
  </si>
  <si>
    <t>종자</t>
    <phoneticPr fontId="3" type="noConversion"/>
  </si>
  <si>
    <t>혼합종자</t>
    <phoneticPr fontId="3" type="noConversion"/>
  </si>
  <si>
    <t>앙카핀</t>
    <phoneticPr fontId="3" type="noConversion"/>
  </si>
  <si>
    <t>Φ16,L=0.5m</t>
    <phoneticPr fontId="3" type="noConversion"/>
  </si>
  <si>
    <t>Φ16,L=0.35m</t>
    <phoneticPr fontId="3" type="noConversion"/>
  </si>
  <si>
    <t>부착망</t>
    <phoneticPr fontId="3" type="noConversion"/>
  </si>
  <si>
    <t>Φ3.21 58*58</t>
    <phoneticPr fontId="3" type="noConversion"/>
  </si>
  <si>
    <t>#8PVC코팅</t>
    <phoneticPr fontId="3" type="noConversion"/>
  </si>
  <si>
    <t>철선</t>
    <phoneticPr fontId="3" type="noConversion"/>
  </si>
  <si>
    <t>원 ('07.1.2)</t>
    <phoneticPr fontId="3" type="noConversion"/>
  </si>
  <si>
    <t>믹서와취부기</t>
    <phoneticPr fontId="53" type="noConversion"/>
  </si>
  <si>
    <t>실사출기 [ 4노즐 ]</t>
    <phoneticPr fontId="3" type="noConversion"/>
  </si>
  <si>
    <t>실사출기</t>
    <phoneticPr fontId="3" type="noConversion"/>
  </si>
  <si>
    <t>4노즐류</t>
    <phoneticPr fontId="3" type="noConversion"/>
  </si>
  <si>
    <t>비  고</t>
    <phoneticPr fontId="3" type="noConversion"/>
  </si>
  <si>
    <t>흙쌓기</t>
    <phoneticPr fontId="3" type="noConversion"/>
  </si>
  <si>
    <t>흙깍기</t>
    <phoneticPr fontId="3" type="noConversion"/>
  </si>
  <si>
    <t>3.0 떼 붙 임</t>
    <phoneticPr fontId="3" type="noConversion"/>
  </si>
  <si>
    <t>(5.0 / 100)인*</t>
    <phoneticPr fontId="3" type="noConversion"/>
  </si>
  <si>
    <t>4.0 꼬치 : 1일 1인 1000개제작</t>
    <phoneticPr fontId="3" type="noConversion"/>
  </si>
  <si>
    <t>5.0 작업반장(보통인부 25~50인 적용)</t>
    <phoneticPr fontId="3" type="noConversion"/>
  </si>
  <si>
    <t>(6.0 / 100)인*</t>
    <phoneticPr fontId="3" type="noConversion"/>
  </si>
  <si>
    <t>3.0 떼 붙 임</t>
    <phoneticPr fontId="3" type="noConversion"/>
  </si>
  <si>
    <t>잔 디</t>
    <phoneticPr fontId="3" type="noConversion"/>
  </si>
  <si>
    <t>0.3*0.3m</t>
    <phoneticPr fontId="3" type="noConversion"/>
  </si>
  <si>
    <t xml:space="preserve">  - 잔디(0.3*0.3m) :</t>
    <phoneticPr fontId="3" type="noConversion"/>
  </si>
  <si>
    <t>JSB 녹화기반제</t>
    <phoneticPr fontId="3" type="noConversion"/>
  </si>
  <si>
    <t>JSB 양생제</t>
    <phoneticPr fontId="3" type="noConversion"/>
  </si>
  <si>
    <t>JSB 안정제</t>
    <phoneticPr fontId="3" type="noConversion"/>
  </si>
  <si>
    <t>JSB 단립제</t>
    <phoneticPr fontId="3" type="noConversion"/>
  </si>
  <si>
    <t>물 가 자 료 3월</t>
    <phoneticPr fontId="3" type="noConversion"/>
  </si>
  <si>
    <t>2009년</t>
    <phoneticPr fontId="3" type="noConversion"/>
  </si>
  <si>
    <t>물 가 정 보 3월</t>
    <phoneticPr fontId="3" type="noConversion"/>
  </si>
  <si>
    <t>덕창</t>
    <phoneticPr fontId="3" type="noConversion"/>
  </si>
  <si>
    <t>덕창</t>
    <phoneticPr fontId="3" type="noConversion"/>
  </si>
  <si>
    <t>론타이</t>
    <phoneticPr fontId="3" type="noConversion"/>
  </si>
  <si>
    <t>태흥</t>
    <phoneticPr fontId="3" type="noConversion"/>
  </si>
  <si>
    <t>인공토</t>
    <phoneticPr fontId="3" type="noConversion"/>
  </si>
  <si>
    <t>종자</t>
    <phoneticPr fontId="3" type="noConversion"/>
  </si>
  <si>
    <t>앙카핀</t>
    <phoneticPr fontId="3" type="noConversion"/>
  </si>
  <si>
    <t>와이어로프클럽</t>
    <phoneticPr fontId="3" type="noConversion"/>
  </si>
  <si>
    <t>착지핀</t>
    <phoneticPr fontId="3" type="noConversion"/>
  </si>
  <si>
    <t>목본류및잔디류</t>
    <phoneticPr fontId="3" type="noConversion"/>
  </si>
  <si>
    <t>3/8"</t>
    <phoneticPr fontId="3" type="noConversion"/>
  </si>
  <si>
    <t>kg</t>
    <phoneticPr fontId="3" type="noConversion"/>
  </si>
  <si>
    <t>목도</t>
    <phoneticPr fontId="3" type="noConversion"/>
  </si>
  <si>
    <t>와이어로프</t>
    <phoneticPr fontId="3" type="noConversion"/>
  </si>
  <si>
    <t>09년1월조달청 중기기초단가</t>
    <phoneticPr fontId="3" type="noConversion"/>
  </si>
  <si>
    <t xml:space="preserve">원(조달청고시'09.1. ) </t>
    <phoneticPr fontId="3" type="noConversion"/>
  </si>
  <si>
    <t>믹서 [ 0.45 M3 ]</t>
    <phoneticPr fontId="3" type="noConversion"/>
  </si>
  <si>
    <t>휘발유</t>
    <phoneticPr fontId="3" type="noConversion"/>
  </si>
  <si>
    <t>모노펌프[5~20 M3]</t>
    <phoneticPr fontId="3" type="noConversion"/>
  </si>
  <si>
    <t>디젤엔진[52.22KW-70HP]</t>
    <phoneticPr fontId="3" type="noConversion"/>
  </si>
  <si>
    <t>믹서</t>
    <phoneticPr fontId="3" type="noConversion"/>
  </si>
  <si>
    <t>디젤엔진</t>
    <phoneticPr fontId="3" type="noConversion"/>
  </si>
  <si>
    <t>모노펌프</t>
    <phoneticPr fontId="3" type="noConversion"/>
  </si>
  <si>
    <t>4.5㎥</t>
    <phoneticPr fontId="3" type="noConversion"/>
  </si>
  <si>
    <t>2~20 ㎥</t>
    <phoneticPr fontId="3" type="noConversion"/>
  </si>
  <si>
    <t>NGR Seed</t>
    <phoneticPr fontId="3" type="noConversion"/>
  </si>
  <si>
    <t>10종이상</t>
    <phoneticPr fontId="3" type="noConversion"/>
  </si>
  <si>
    <t>NGR 97</t>
    <phoneticPr fontId="3" type="noConversion"/>
  </si>
  <si>
    <t>NGR Spring</t>
    <phoneticPr fontId="3" type="noConversion"/>
  </si>
  <si>
    <t>NGR Seed 대체사양</t>
    <phoneticPr fontId="3" type="noConversion"/>
  </si>
  <si>
    <t>녹화기반토양</t>
    <phoneticPr fontId="3" type="noConversion"/>
  </si>
  <si>
    <t>현우</t>
    <phoneticPr fontId="3" type="noConversion"/>
  </si>
  <si>
    <t>입단형성제</t>
    <phoneticPr fontId="3" type="noConversion"/>
  </si>
  <si>
    <t>표토구조형성</t>
    <phoneticPr fontId="3" type="noConversion"/>
  </si>
  <si>
    <t>배합종자</t>
    <phoneticPr fontId="3" type="noConversion"/>
  </si>
  <si>
    <t>취부기[4.3 M3, 80ps]</t>
    <phoneticPr fontId="3" type="noConversion"/>
  </si>
  <si>
    <t>믹스및취부기[NGR]</t>
    <phoneticPr fontId="3" type="noConversion"/>
  </si>
  <si>
    <t>취부기[SF]</t>
    <phoneticPr fontId="3" type="noConversion"/>
  </si>
  <si>
    <t>4.3㎥</t>
    <phoneticPr fontId="3" type="noConversion"/>
  </si>
  <si>
    <t>자흡식펌프[100mm]</t>
    <phoneticPr fontId="3" type="noConversion"/>
  </si>
  <si>
    <t>자흡식펌프</t>
    <phoneticPr fontId="3" type="noConversion"/>
  </si>
  <si>
    <t>100 mm</t>
    <phoneticPr fontId="3" type="noConversion"/>
  </si>
  <si>
    <t>나무숲복원용</t>
    <phoneticPr fontId="3" type="noConversion"/>
  </si>
  <si>
    <t>녹화토</t>
    <phoneticPr fontId="3" type="noConversion"/>
  </si>
  <si>
    <t>연속장섬유</t>
    <phoneticPr fontId="3" type="noConversion"/>
  </si>
  <si>
    <t>상지</t>
    <phoneticPr fontId="3" type="noConversion"/>
  </si>
  <si>
    <t>트럭탑재형크레인[ 3.0 Ton ]</t>
    <phoneticPr fontId="3" type="noConversion"/>
  </si>
  <si>
    <t>기계</t>
    <phoneticPr fontId="3" type="noConversion"/>
  </si>
  <si>
    <t>취부기[16HP]</t>
    <phoneticPr fontId="3" type="noConversion"/>
  </si>
  <si>
    <t>고압펌프[200kg/cm2]</t>
    <phoneticPr fontId="3" type="noConversion"/>
  </si>
  <si>
    <t>믹  서</t>
    <phoneticPr fontId="3" type="noConversion"/>
  </si>
  <si>
    <t>0.3㎥</t>
    <phoneticPr fontId="3" type="noConversion"/>
  </si>
  <si>
    <t>믹서 [ 0.3 M3 ]</t>
    <phoneticPr fontId="3" type="noConversion"/>
  </si>
  <si>
    <t>취 부 기</t>
    <phoneticPr fontId="3" type="noConversion"/>
  </si>
  <si>
    <t>16HP</t>
    <phoneticPr fontId="3" type="noConversion"/>
  </si>
  <si>
    <t>트럭탑재형크레인</t>
    <phoneticPr fontId="3" type="noConversion"/>
  </si>
  <si>
    <t>3.0 Ton</t>
    <phoneticPr fontId="3" type="noConversion"/>
  </si>
  <si>
    <t>고압펌프</t>
    <phoneticPr fontId="3" type="noConversion"/>
  </si>
  <si>
    <t>200kg/cm2</t>
    <phoneticPr fontId="3" type="noConversion"/>
  </si>
  <si>
    <t>3TON</t>
    <phoneticPr fontId="3" type="noConversion"/>
  </si>
  <si>
    <t>G</t>
    <phoneticPr fontId="3" type="noConversion"/>
  </si>
  <si>
    <t>G</t>
    <phoneticPr fontId="3" type="noConversion"/>
  </si>
  <si>
    <t>G</t>
    <phoneticPr fontId="3" type="noConversion"/>
  </si>
  <si>
    <t>덕창</t>
    <phoneticPr fontId="3" type="noConversion"/>
  </si>
  <si>
    <t>구  분</t>
    <phoneticPr fontId="3" type="noConversion"/>
  </si>
  <si>
    <t>적용</t>
    <phoneticPr fontId="3" type="noConversion"/>
  </si>
  <si>
    <t>단  가</t>
    <phoneticPr fontId="3" type="noConversion"/>
  </si>
  <si>
    <t>비  고</t>
    <phoneticPr fontId="3" type="noConversion"/>
  </si>
  <si>
    <t>성 토</t>
    <phoneticPr fontId="3" type="noConversion"/>
  </si>
  <si>
    <t>줄 떼</t>
    <phoneticPr fontId="3" type="noConversion"/>
  </si>
  <si>
    <t>절 토</t>
    <phoneticPr fontId="3" type="noConversion"/>
  </si>
  <si>
    <t>평 떼</t>
    <phoneticPr fontId="3" type="noConversion"/>
  </si>
  <si>
    <t>산  출   근   거</t>
    <phoneticPr fontId="3" type="noConversion"/>
  </si>
  <si>
    <t>재료비</t>
    <phoneticPr fontId="3" type="noConversion"/>
  </si>
  <si>
    <t>노무비</t>
    <phoneticPr fontId="3" type="noConversion"/>
  </si>
  <si>
    <t>경  비</t>
    <phoneticPr fontId="3" type="noConversion"/>
  </si>
  <si>
    <t>합  계</t>
    <phoneticPr fontId="3" type="noConversion"/>
  </si>
  <si>
    <t>▣ 줄  떼 (m2)</t>
    <phoneticPr fontId="3" type="noConversion"/>
  </si>
  <si>
    <t>1.0 재 료 비</t>
    <phoneticPr fontId="3" type="noConversion"/>
  </si>
  <si>
    <t xml:space="preserve">  - 잔디(0.3*0.3m) :</t>
    <phoneticPr fontId="3" type="noConversion"/>
  </si>
  <si>
    <t>매</t>
    <phoneticPr fontId="3" type="noConversion"/>
  </si>
  <si>
    <t>* (</t>
    <phoneticPr fontId="3" type="noConversion"/>
  </si>
  <si>
    <t>/</t>
    <phoneticPr fontId="3" type="noConversion"/>
  </si>
  <si>
    <t>) *</t>
    <phoneticPr fontId="3" type="noConversion"/>
  </si>
  <si>
    <t>=</t>
    <phoneticPr fontId="3" type="noConversion"/>
  </si>
  <si>
    <t>2.0 소 운 반</t>
    <phoneticPr fontId="3" type="noConversion"/>
  </si>
  <si>
    <t>-</t>
    <phoneticPr fontId="3" type="noConversion"/>
  </si>
  <si>
    <t>사용장비 : 지게</t>
    <phoneticPr fontId="3" type="noConversion"/>
  </si>
  <si>
    <t xml:space="preserve">V (평균왕복속도) </t>
    <phoneticPr fontId="3" type="noConversion"/>
  </si>
  <si>
    <t>m/hr</t>
    <phoneticPr fontId="3" type="noConversion"/>
  </si>
  <si>
    <t>T (1일작업시간:480분-30분) =</t>
    <phoneticPr fontId="3" type="noConversion"/>
  </si>
  <si>
    <t>min</t>
    <phoneticPr fontId="3" type="noConversion"/>
  </si>
  <si>
    <t>L (운반거리 =</t>
    <phoneticPr fontId="3" type="noConversion"/>
  </si>
  <si>
    <t>m</t>
    <phoneticPr fontId="3" type="noConversion"/>
  </si>
  <si>
    <t>t (적재적하소요시간)</t>
    <phoneticPr fontId="3" type="noConversion"/>
  </si>
  <si>
    <t>q (1회운반량)</t>
    <phoneticPr fontId="3" type="noConversion"/>
  </si>
  <si>
    <t>매/회(줄떼)</t>
    <phoneticPr fontId="3" type="noConversion"/>
  </si>
  <si>
    <t>N (횟수) = V*T/(120*L+V*t) =</t>
    <phoneticPr fontId="3" type="noConversion"/>
  </si>
  <si>
    <t>회/일</t>
    <phoneticPr fontId="3" type="noConversion"/>
  </si>
  <si>
    <t>Q (1일운반량) = N * q</t>
    <phoneticPr fontId="3" type="noConversion"/>
  </si>
  <si>
    <t>매/일</t>
    <phoneticPr fontId="3" type="noConversion"/>
  </si>
  <si>
    <t>보통인부 :</t>
    <phoneticPr fontId="3" type="noConversion"/>
  </si>
  <si>
    <t>1인/Q*11매*1.1</t>
    <phoneticPr fontId="3" type="noConversion"/>
  </si>
  <si>
    <t>*</t>
    <phoneticPr fontId="3" type="noConversion"/>
  </si>
  <si>
    <t>3.0 떼 붙 임</t>
    <phoneticPr fontId="3" type="noConversion"/>
  </si>
  <si>
    <t>(5.0 / 100)인*</t>
    <phoneticPr fontId="3" type="noConversion"/>
  </si>
  <si>
    <t>5.0 작업반장(보통인부 25~50인 적용)</t>
    <phoneticPr fontId="3" type="noConversion"/>
  </si>
  <si>
    <t xml:space="preserve">  (((0.24+0.19)/2/10)+7.6/100)/((25+50)/2)*</t>
    <phoneticPr fontId="3" type="noConversion"/>
  </si>
  <si>
    <t>계</t>
    <phoneticPr fontId="3" type="noConversion"/>
  </si>
  <si>
    <t>▣ 평  떼 (m2)</t>
    <phoneticPr fontId="3" type="noConversion"/>
  </si>
  <si>
    <t>매/회(평떼)</t>
    <phoneticPr fontId="3" type="noConversion"/>
  </si>
  <si>
    <t>(6.0 / 100)인*</t>
    <phoneticPr fontId="3" type="noConversion"/>
  </si>
  <si>
    <t>4.0 꼬치 : 1일 1인 1000개제작</t>
    <phoneticPr fontId="3" type="noConversion"/>
  </si>
  <si>
    <t>1인 * (22/1000) *</t>
    <phoneticPr fontId="3" type="noConversion"/>
  </si>
  <si>
    <t xml:space="preserve">V (평균왕복속도) </t>
    <phoneticPr fontId="3" type="noConversion"/>
  </si>
  <si>
    <t>T (1일작업시간:480분-30분) =</t>
    <phoneticPr fontId="3" type="noConversion"/>
  </si>
  <si>
    <t>L (운반거리 =</t>
    <phoneticPr fontId="3" type="noConversion"/>
  </si>
  <si>
    <t>매/회(줄떼)</t>
    <phoneticPr fontId="3" type="noConversion"/>
  </si>
  <si>
    <t>*</t>
    <phoneticPr fontId="3" type="noConversion"/>
  </si>
  <si>
    <t>4.0 꼬치 : 1일 1인 1000개제작</t>
    <phoneticPr fontId="3" type="noConversion"/>
  </si>
  <si>
    <t>1인 * (22/1000) *</t>
    <phoneticPr fontId="3" type="noConversion"/>
  </si>
  <si>
    <t>3.부착망 설치</t>
    <phoneticPr fontId="3" type="noConversion"/>
  </si>
  <si>
    <t>3.2mm, 58*58</t>
    <phoneticPr fontId="3" type="noConversion"/>
  </si>
  <si>
    <t>철선</t>
    <phoneticPr fontId="3" type="noConversion"/>
  </si>
  <si>
    <t>＃8,PVC코팅</t>
    <phoneticPr fontId="3" type="noConversion"/>
  </si>
  <si>
    <t>작 업 반 장</t>
    <phoneticPr fontId="3" type="noConversion"/>
  </si>
  <si>
    <t>4.취부공</t>
    <phoneticPr fontId="3" type="noConversion"/>
  </si>
  <si>
    <t>25ℓ</t>
    <phoneticPr fontId="3" type="noConversion"/>
  </si>
  <si>
    <t>MUD토[III호]</t>
    <phoneticPr fontId="3" type="noConversion"/>
  </si>
  <si>
    <t>MUD식생기반재</t>
    <phoneticPr fontId="3" type="noConversion"/>
  </si>
  <si>
    <t>양잔디류3종</t>
    <phoneticPr fontId="3" type="noConversion"/>
  </si>
  <si>
    <t>21㎥/min</t>
    <phoneticPr fontId="3" type="noConversion"/>
  </si>
  <si>
    <t>기계공</t>
    <phoneticPr fontId="3" type="noConversion"/>
  </si>
  <si>
    <t>노무비2.5%</t>
    <phoneticPr fontId="3" type="noConversion"/>
  </si>
  <si>
    <t>환경생태복원 MUDPACK [T=10cm]  ㎡ 당 [ 보통암,경암 ]</t>
    <phoneticPr fontId="3" type="noConversion"/>
  </si>
  <si>
    <t>21㎥/min5</t>
    <phoneticPr fontId="3" type="noConversion"/>
  </si>
  <si>
    <t>MUDPACK 단가산출서</t>
    <phoneticPr fontId="3" type="noConversion"/>
  </si>
  <si>
    <t>품  목</t>
    <phoneticPr fontId="3" type="noConversion"/>
  </si>
  <si>
    <t>산출내역</t>
    <phoneticPr fontId="3" type="noConversion"/>
  </si>
  <si>
    <t>취부기 (25HP)</t>
    <phoneticPr fontId="3" type="noConversion"/>
  </si>
  <si>
    <t>손  료</t>
    <phoneticPr fontId="3" type="noConversion"/>
  </si>
  <si>
    <r>
      <t>10</t>
    </r>
    <r>
      <rPr>
        <vertAlign val="superscript"/>
        <sz val="8"/>
        <rFont val="굴림"/>
        <family val="3"/>
        <charset val="129"/>
      </rPr>
      <t>-7</t>
    </r>
    <phoneticPr fontId="3" type="noConversion"/>
  </si>
  <si>
    <t>'09 적산정보 p665</t>
    <phoneticPr fontId="3" type="noConversion"/>
  </si>
  <si>
    <t>발전기
(50kw)</t>
    <phoneticPr fontId="3" type="noConversion"/>
  </si>
  <si>
    <t>'09 적산정보 p662</t>
    <phoneticPr fontId="3" type="noConversion"/>
  </si>
  <si>
    <t>경       유</t>
    <phoneticPr fontId="3" type="noConversion"/>
  </si>
  <si>
    <t>:</t>
    <phoneticPr fontId="3" type="noConversion"/>
  </si>
  <si>
    <t xml:space="preserve">8.7ℓ </t>
    <phoneticPr fontId="3" type="noConversion"/>
  </si>
  <si>
    <t>잡유(24%)</t>
    <phoneticPr fontId="3" type="noConversion"/>
  </si>
  <si>
    <t>+</t>
    <phoneticPr fontId="3" type="noConversion"/>
  </si>
  <si>
    <t>기계운전사</t>
    <phoneticPr fontId="3" type="noConversion"/>
  </si>
  <si>
    <t xml:space="preserve">  1/8*25/20*16/12</t>
    <phoneticPr fontId="3" type="noConversion"/>
  </si>
  <si>
    <t>종자살포기
(아스팔트디스트리뷰터
3000ℓ)</t>
    <phoneticPr fontId="3" type="noConversion"/>
  </si>
  <si>
    <t>'09 적산정보 p638</t>
    <phoneticPr fontId="3" type="noConversion"/>
  </si>
  <si>
    <t xml:space="preserve">8.9ℓ </t>
    <phoneticPr fontId="3" type="noConversion"/>
  </si>
  <si>
    <t>잡유(23%)</t>
    <phoneticPr fontId="3" type="noConversion"/>
  </si>
  <si>
    <t>건설기계운전사</t>
    <phoneticPr fontId="3" type="noConversion"/>
  </si>
  <si>
    <t>물탱크
(5,500ℓ)</t>
    <phoneticPr fontId="3" type="noConversion"/>
  </si>
  <si>
    <t>'09 적산정보 p661</t>
    <phoneticPr fontId="3" type="noConversion"/>
  </si>
  <si>
    <t xml:space="preserve">9.3ℓ </t>
    <phoneticPr fontId="3" type="noConversion"/>
  </si>
  <si>
    <t>잡유(30%)</t>
    <phoneticPr fontId="3" type="noConversion"/>
  </si>
  <si>
    <t>운반운전사</t>
    <phoneticPr fontId="3" type="noConversion"/>
  </si>
  <si>
    <t>트럭탑재형
크레인(5TON)</t>
    <phoneticPr fontId="3" type="noConversion"/>
  </si>
  <si>
    <t>'09적산정보 p629</t>
    <phoneticPr fontId="3" type="noConversion"/>
  </si>
  <si>
    <t xml:space="preserve">5.1ℓ </t>
    <phoneticPr fontId="3" type="noConversion"/>
  </si>
  <si>
    <t>잡유(20%)</t>
    <phoneticPr fontId="3" type="noConversion"/>
  </si>
  <si>
    <t>덤프트럭
(6TON)</t>
    <phoneticPr fontId="3" type="noConversion"/>
  </si>
  <si>
    <t>'09적산정보 p618</t>
    <phoneticPr fontId="3" type="noConversion"/>
  </si>
  <si>
    <t xml:space="preserve">8.0ℓ </t>
    <phoneticPr fontId="3" type="noConversion"/>
  </si>
  <si>
    <t>잡유(38%)</t>
    <phoneticPr fontId="3" type="noConversion"/>
  </si>
  <si>
    <t>공기압축기
(21㎥/min)</t>
    <phoneticPr fontId="3" type="noConversion"/>
  </si>
  <si>
    <t>'09적산정보 p652</t>
    <phoneticPr fontId="3" type="noConversion"/>
  </si>
  <si>
    <t xml:space="preserve">27.6ℓ </t>
    <phoneticPr fontId="3" type="noConversion"/>
  </si>
  <si>
    <t>잡유(16%)</t>
    <phoneticPr fontId="3" type="noConversion"/>
  </si>
  <si>
    <t>자재비단가</t>
    <phoneticPr fontId="3" type="noConversion"/>
  </si>
  <si>
    <t>▶MUD토 [I],[ II호 ] :80,000원/㎥</t>
    <phoneticPr fontId="3" type="noConversion"/>
  </si>
  <si>
    <t>견적단가</t>
    <phoneticPr fontId="3" type="noConversion"/>
  </si>
  <si>
    <t>▶MUD토[ III호 ] : 60,000원/㎥</t>
    <phoneticPr fontId="3" type="noConversion"/>
  </si>
  <si>
    <t>▶볏짚거적 : 400원/㎡</t>
    <phoneticPr fontId="3" type="noConversion"/>
  </si>
  <si>
    <t>'10/01물가정보 p308</t>
    <phoneticPr fontId="3" type="noConversion"/>
  </si>
  <si>
    <t>▶토양응집제 : 25,000원/kg</t>
    <phoneticPr fontId="3" type="noConversion"/>
  </si>
  <si>
    <t>▶장섬유(폴리프로필렌)  :  4,000원/kg</t>
    <phoneticPr fontId="3" type="noConversion"/>
  </si>
  <si>
    <t>▶비료(복합비료 21-17-17)  :  23,000원/20kg포</t>
    <phoneticPr fontId="3" type="noConversion"/>
  </si>
  <si>
    <t>'09/06물가자료 p1280</t>
    <phoneticPr fontId="3" type="noConversion"/>
  </si>
  <si>
    <t>▶혼합종자  :  10,000원/kg</t>
    <phoneticPr fontId="3" type="noConversion"/>
  </si>
  <si>
    <t>▶향토초화목본5종  :  40,000원/kg</t>
    <phoneticPr fontId="3" type="noConversion"/>
  </si>
  <si>
    <t>▶앵커핀(Φ16, L=500)  :  850원/EA</t>
    <phoneticPr fontId="3" type="noConversion"/>
  </si>
  <si>
    <t>▶앵커핀(Φ16, L=350)  :  700원/EA</t>
    <phoneticPr fontId="3" type="noConversion"/>
  </si>
  <si>
    <t>▶착지핀(Φ16, L=250)  :  600원/EA</t>
    <phoneticPr fontId="3" type="noConversion"/>
  </si>
  <si>
    <t>▶부착망(＃10, 58*58 PVC코팅)  :  3,500원/㎡</t>
    <phoneticPr fontId="3" type="noConversion"/>
  </si>
  <si>
    <t>▶철선(#8, PVC코팅)  :  300원/m</t>
    <phoneticPr fontId="3" type="noConversion"/>
  </si>
  <si>
    <t>노무비단가</t>
    <phoneticPr fontId="3" type="noConversion"/>
  </si>
  <si>
    <t>10 상반기 노임단가</t>
    <phoneticPr fontId="3" type="noConversion"/>
  </si>
  <si>
    <t>착   암   공</t>
    <phoneticPr fontId="3" type="noConversion"/>
  </si>
  <si>
    <t>기   계   공</t>
    <phoneticPr fontId="3" type="noConversion"/>
  </si>
  <si>
    <t>09 하반기 노임단가</t>
    <phoneticPr fontId="3" type="noConversion"/>
  </si>
  <si>
    <t>단가산출(줄떼)</t>
    <phoneticPr fontId="3" type="noConversion"/>
  </si>
  <si>
    <t>산  출   근   거</t>
    <phoneticPr fontId="3" type="noConversion"/>
  </si>
  <si>
    <t xml:space="preserve">  - 잔디(0.3*0.3m) :</t>
    <phoneticPr fontId="3" type="noConversion"/>
  </si>
  <si>
    <t>매</t>
    <phoneticPr fontId="3" type="noConversion"/>
  </si>
  <si>
    <t>* (</t>
    <phoneticPr fontId="3" type="noConversion"/>
  </si>
  <si>
    <t>/</t>
    <phoneticPr fontId="3" type="noConversion"/>
  </si>
  <si>
    <t>) *</t>
    <phoneticPr fontId="3" type="noConversion"/>
  </si>
  <si>
    <t>단가산출(평떼)</t>
    <phoneticPr fontId="3" type="noConversion"/>
  </si>
  <si>
    <t>재료비</t>
    <phoneticPr fontId="3" type="noConversion"/>
  </si>
  <si>
    <t>노무비</t>
    <phoneticPr fontId="3" type="noConversion"/>
  </si>
  <si>
    <t>경  비</t>
    <phoneticPr fontId="3" type="noConversion"/>
  </si>
  <si>
    <t>합  계</t>
    <phoneticPr fontId="3" type="noConversion"/>
  </si>
  <si>
    <t>▣ 평  떼 (m2)</t>
    <phoneticPr fontId="3" type="noConversion"/>
  </si>
  <si>
    <t>1.0 재 료 비</t>
    <phoneticPr fontId="3" type="noConversion"/>
  </si>
  <si>
    <t>자연생태복원(JSB)공[SEED형]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</si>
  <si>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</si>
  <si>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</si>
  <si>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</si>
  <si>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</si>
  <si>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</si>
  <si>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</si>
  <si>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</si>
  <si>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</si>
  <si>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</si>
  <si>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</si>
  <si>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</si>
  <si>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녹화기반제</t>
    <phoneticPr fontId="3" type="noConversion"/>
  </si>
  <si>
    <t>유기질토양</t>
    <phoneticPr fontId="3" type="noConversion"/>
  </si>
  <si>
    <t>L</t>
    <phoneticPr fontId="3" type="noConversion"/>
  </si>
  <si>
    <t>양생제</t>
    <phoneticPr fontId="3" type="noConversion"/>
  </si>
  <si>
    <t>섬유소</t>
    <phoneticPr fontId="3" type="noConversion"/>
  </si>
  <si>
    <t>안정제</t>
    <phoneticPr fontId="3" type="noConversion"/>
  </si>
  <si>
    <t>침식방지제</t>
    <phoneticPr fontId="3" type="noConversion"/>
  </si>
  <si>
    <t>KG</t>
    <phoneticPr fontId="3" type="noConversion"/>
  </si>
  <si>
    <t>단립제</t>
    <phoneticPr fontId="3" type="noConversion"/>
  </si>
  <si>
    <t>구조형성</t>
    <phoneticPr fontId="3" type="noConversion"/>
  </si>
  <si>
    <t>종  자</t>
    <phoneticPr fontId="3" type="noConversion"/>
  </si>
  <si>
    <t>6종혼합</t>
    <phoneticPr fontId="3" type="noConversion"/>
  </si>
  <si>
    <t>G</t>
    <phoneticPr fontId="3" type="noConversion"/>
  </si>
  <si>
    <t>잡재료비</t>
    <phoneticPr fontId="3" type="noConversion"/>
  </si>
  <si>
    <t>재료비의</t>
    <phoneticPr fontId="3" type="noConversion"/>
  </si>
  <si>
    <t>%</t>
    <phoneticPr fontId="3" type="noConversion"/>
  </si>
  <si>
    <t>취부기</t>
    <phoneticPr fontId="3" type="noConversion"/>
  </si>
  <si>
    <t>25 L</t>
    <phoneticPr fontId="3" type="noConversion"/>
  </si>
  <si>
    <t>HR</t>
    <phoneticPr fontId="3" type="noConversion"/>
  </si>
  <si>
    <t>공기압축기</t>
    <phoneticPr fontId="3" type="noConversion"/>
  </si>
  <si>
    <t>17M3/MIN</t>
    <phoneticPr fontId="3" type="noConversion"/>
  </si>
  <si>
    <t>발 전 기</t>
    <phoneticPr fontId="3" type="noConversion"/>
  </si>
  <si>
    <t>100KW</t>
    <phoneticPr fontId="3" type="noConversion"/>
  </si>
  <si>
    <t>트러탑재크레인</t>
    <phoneticPr fontId="3" type="noConversion"/>
  </si>
  <si>
    <t>5.0 TON</t>
    <phoneticPr fontId="3" type="noConversion"/>
  </si>
  <si>
    <t>물 탱 크</t>
    <phoneticPr fontId="3" type="noConversion"/>
  </si>
  <si>
    <t>5,500L</t>
    <phoneticPr fontId="3" type="noConversion"/>
  </si>
  <si>
    <t>덤프트럭</t>
    <phoneticPr fontId="3" type="noConversion"/>
  </si>
  <si>
    <t>6.0 TON</t>
    <phoneticPr fontId="3" type="noConversion"/>
  </si>
  <si>
    <t>작업반장</t>
    <phoneticPr fontId="3" type="noConversion"/>
  </si>
  <si>
    <t>인</t>
    <phoneticPr fontId="3" type="noConversion"/>
  </si>
  <si>
    <t>특별인부</t>
    <phoneticPr fontId="3" type="noConversion"/>
  </si>
  <si>
    <t>기 계 공</t>
    <phoneticPr fontId="3" type="noConversion"/>
  </si>
  <si>
    <t>보통인부</t>
    <phoneticPr fontId="3" type="noConversion"/>
  </si>
  <si>
    <t>기구손료</t>
    <phoneticPr fontId="3" type="noConversion"/>
  </si>
  <si>
    <t>노무비의</t>
    <phoneticPr fontId="3" type="noConversion"/>
  </si>
  <si>
    <t>소    계</t>
    <phoneticPr fontId="3" type="noConversion"/>
  </si>
  <si>
    <t>* 수직고 20M 이하, 면적1000m2 이상 기준임.</t>
    <phoneticPr fontId="3" type="noConversion"/>
  </si>
  <si>
    <t>총    계</t>
    <phoneticPr fontId="3" type="noConversion"/>
  </si>
  <si>
    <t>자연생태복원(JSB)공[무망 2Cm]</t>
    <phoneticPr fontId="3" type="noConversion"/>
  </si>
  <si>
    <t>2009년 배토습식공법 내역서</t>
    <phoneticPr fontId="3" type="noConversion"/>
  </si>
  <si>
    <t>목  도  창  조  주  식  회  사</t>
    <phoneticPr fontId="3" type="noConversion"/>
  </si>
  <si>
    <t>명             칭</t>
    <phoneticPr fontId="3" type="noConversion"/>
  </si>
  <si>
    <t>품종 및 규격</t>
    <phoneticPr fontId="3" type="noConversion"/>
  </si>
  <si>
    <t>수  량</t>
    <phoneticPr fontId="3" type="noConversion"/>
  </si>
  <si>
    <t>단위</t>
    <phoneticPr fontId="3" type="noConversion"/>
  </si>
  <si>
    <t>재      료      비</t>
    <phoneticPr fontId="3" type="noConversion"/>
  </si>
  <si>
    <t>노      무      비</t>
    <phoneticPr fontId="3" type="noConversion"/>
  </si>
  <si>
    <t>경              비</t>
    <phoneticPr fontId="3" type="noConversion"/>
  </si>
  <si>
    <t>계</t>
    <phoneticPr fontId="3" type="noConversion"/>
  </si>
  <si>
    <t>비        고</t>
    <phoneticPr fontId="3" type="noConversion"/>
  </si>
  <si>
    <t>단    가</t>
    <phoneticPr fontId="3" type="noConversion"/>
  </si>
  <si>
    <t>금      액</t>
    <phoneticPr fontId="3" type="noConversion"/>
  </si>
  <si>
    <t>2009년 배토습식공법 일위대가총괄표</t>
    <phoneticPr fontId="3" type="noConversion"/>
  </si>
  <si>
    <t>A    S    N    A</t>
    <phoneticPr fontId="3" type="noConversion"/>
  </si>
  <si>
    <t>무   망     5 ㎜</t>
    <phoneticPr fontId="3" type="noConversion"/>
  </si>
  <si>
    <t>㎡</t>
    <phoneticPr fontId="3" type="noConversion"/>
  </si>
  <si>
    <t>무   망     10 ㎜</t>
    <phoneticPr fontId="3" type="noConversion"/>
  </si>
  <si>
    <t>무   망     20 ㎜</t>
    <phoneticPr fontId="3" type="noConversion"/>
  </si>
  <si>
    <t>무   망     30 ㎜</t>
    <phoneticPr fontId="3" type="noConversion"/>
  </si>
  <si>
    <t>유   망     30 ㎜</t>
    <phoneticPr fontId="3" type="noConversion"/>
  </si>
  <si>
    <t>유   망     50 ㎜</t>
    <phoneticPr fontId="3" type="noConversion"/>
  </si>
  <si>
    <r>
      <t xml:space="preserve">     </t>
    </r>
    <r>
      <rPr>
        <b/>
        <sz val="14"/>
        <rFont val="굴림"/>
        <family val="3"/>
        <charset val="129"/>
      </rPr>
      <t xml:space="preserve"> ASNA  무망 T = 5㎜    (10㎡당)</t>
    </r>
    <phoneticPr fontId="3" type="noConversion"/>
  </si>
  <si>
    <t>인      공      토</t>
    <phoneticPr fontId="3" type="noConversion"/>
  </si>
  <si>
    <t>베저테이티브시멘트</t>
    <phoneticPr fontId="3" type="noConversion"/>
  </si>
  <si>
    <t>㎥</t>
    <phoneticPr fontId="3" type="noConversion"/>
  </si>
  <si>
    <t>종               자</t>
    <phoneticPr fontId="3" type="noConversion"/>
  </si>
  <si>
    <t>목본류 및 잔디류</t>
    <phoneticPr fontId="3" type="noConversion"/>
  </si>
  <si>
    <t>㎏</t>
    <phoneticPr fontId="3" type="noConversion"/>
  </si>
  <si>
    <t>믹               서</t>
    <phoneticPr fontId="3" type="noConversion"/>
  </si>
  <si>
    <t>0.45㎥</t>
    <phoneticPr fontId="3" type="noConversion"/>
  </si>
  <si>
    <t>hr</t>
    <phoneticPr fontId="3" type="noConversion"/>
  </si>
  <si>
    <t>엔               진</t>
    <phoneticPr fontId="3" type="noConversion"/>
  </si>
  <si>
    <t>70HP</t>
    <phoneticPr fontId="3" type="noConversion"/>
  </si>
  <si>
    <t>물      탱      크</t>
    <phoneticPr fontId="3" type="noConversion"/>
  </si>
  <si>
    <t>5,500ℓ</t>
    <phoneticPr fontId="3" type="noConversion"/>
  </si>
  <si>
    <t>모   노   펌   프</t>
    <phoneticPr fontId="3" type="noConversion"/>
  </si>
  <si>
    <t>5∼20㎥/hr</t>
    <phoneticPr fontId="3" type="noConversion"/>
  </si>
  <si>
    <t>특   별   인   부</t>
    <phoneticPr fontId="3" type="noConversion"/>
  </si>
  <si>
    <t>인</t>
    <phoneticPr fontId="3" type="noConversion"/>
  </si>
  <si>
    <t>기      계      공</t>
    <phoneticPr fontId="3" type="noConversion"/>
  </si>
  <si>
    <t>보   통   인   부</t>
    <phoneticPr fontId="3" type="noConversion"/>
  </si>
  <si>
    <r>
      <t xml:space="preserve">      </t>
    </r>
    <r>
      <rPr>
        <b/>
        <sz val="14"/>
        <rFont val="굴림"/>
        <family val="3"/>
        <charset val="129"/>
      </rPr>
      <t>ASNA  무망 T = 10㎜    (10㎡당)</t>
    </r>
    <phoneticPr fontId="3" type="noConversion"/>
  </si>
  <si>
    <t>베저테이브시멘트</t>
    <phoneticPr fontId="3" type="noConversion"/>
  </si>
  <si>
    <t xml:space="preserve"> </t>
    <phoneticPr fontId="3" type="noConversion"/>
  </si>
  <si>
    <r>
      <t xml:space="preserve">      </t>
    </r>
    <r>
      <rPr>
        <b/>
        <sz val="14"/>
        <rFont val="굴림"/>
        <family val="3"/>
        <charset val="129"/>
      </rPr>
      <t>ASNA  무망 T = 20㎜    (10㎡당)</t>
    </r>
    <phoneticPr fontId="3" type="noConversion"/>
  </si>
  <si>
    <r>
      <t xml:space="preserve">      </t>
    </r>
    <r>
      <rPr>
        <b/>
        <sz val="14"/>
        <rFont val="굴림"/>
        <family val="3"/>
        <charset val="129"/>
      </rPr>
      <t>ASNA  무망 T = 30㎜    (10㎡당)</t>
    </r>
    <phoneticPr fontId="3" type="noConversion"/>
  </si>
  <si>
    <t>5∼20㎥</t>
    <phoneticPr fontId="3" type="noConversion"/>
  </si>
  <si>
    <r>
      <t xml:space="preserve">      </t>
    </r>
    <r>
      <rPr>
        <b/>
        <sz val="14"/>
        <rFont val="굴림"/>
        <family val="3"/>
        <charset val="129"/>
      </rPr>
      <t>ASNA  유망 T = 30㎜    (10㎡당</t>
    </r>
    <r>
      <rPr>
        <sz val="14"/>
        <rFont val="굴림"/>
        <family val="3"/>
        <charset val="129"/>
      </rPr>
      <t>)</t>
    </r>
    <phoneticPr fontId="3" type="noConversion"/>
  </si>
  <si>
    <t xml:space="preserve"> 1) 앵커핀 및 착지핀 홀천공</t>
    <phoneticPr fontId="3" type="noConversion"/>
  </si>
  <si>
    <t>발       전       기</t>
    <phoneticPr fontId="3" type="noConversion"/>
  </si>
  <si>
    <t>50㎾</t>
    <phoneticPr fontId="3" type="noConversion"/>
  </si>
  <si>
    <t>드릴 및 비트손료</t>
    <phoneticPr fontId="3" type="noConversion"/>
  </si>
  <si>
    <t>인건비의 2.5%</t>
    <phoneticPr fontId="3" type="noConversion"/>
  </si>
  <si>
    <t>식</t>
    <phoneticPr fontId="3" type="noConversion"/>
  </si>
  <si>
    <t>착       암       공</t>
    <phoneticPr fontId="3" type="noConversion"/>
  </si>
  <si>
    <t>보    통    인    부</t>
    <phoneticPr fontId="3" type="noConversion"/>
  </si>
  <si>
    <t>소        계</t>
    <phoneticPr fontId="3" type="noConversion"/>
  </si>
  <si>
    <t xml:space="preserve">  2) 앵커핀 및 착지핀 설치</t>
    <phoneticPr fontId="3" type="noConversion"/>
  </si>
  <si>
    <t>앵       커       핀</t>
    <phoneticPr fontId="3" type="noConversion"/>
  </si>
  <si>
    <t>Φ19, L=0.6</t>
    <phoneticPr fontId="3" type="noConversion"/>
  </si>
  <si>
    <t>개</t>
    <phoneticPr fontId="3" type="noConversion"/>
  </si>
  <si>
    <t>착       지       핀</t>
    <phoneticPr fontId="3" type="noConversion"/>
  </si>
  <si>
    <t>Φ16, L=0.4</t>
    <phoneticPr fontId="3" type="noConversion"/>
  </si>
  <si>
    <t>특    별    인    부</t>
    <phoneticPr fontId="3" type="noConversion"/>
  </si>
  <si>
    <t>3)  부  착   망     설   치</t>
    <phoneticPr fontId="3" type="noConversion"/>
  </si>
  <si>
    <t>부       착       망</t>
    <phoneticPr fontId="3" type="noConversion"/>
  </si>
  <si>
    <t>Φ3.2, 58×58</t>
    <phoneticPr fontId="3" type="noConversion"/>
  </si>
  <si>
    <t>와  이  어  로  프</t>
    <phoneticPr fontId="3" type="noConversion"/>
  </si>
  <si>
    <t>Φ9</t>
    <phoneticPr fontId="3" type="noConversion"/>
  </si>
  <si>
    <t>m</t>
    <phoneticPr fontId="3" type="noConversion"/>
  </si>
  <si>
    <t>와  이  어  클  립</t>
    <phoneticPr fontId="3" type="noConversion"/>
  </si>
  <si>
    <t>3 / 8"</t>
    <phoneticPr fontId="3" type="noConversion"/>
  </si>
  <si>
    <t>트럭탑재형 크레인</t>
    <phoneticPr fontId="3" type="noConversion"/>
  </si>
  <si>
    <t>5톤</t>
    <phoneticPr fontId="3" type="noConversion"/>
  </si>
  <si>
    <t>4)  취        부         공</t>
    <phoneticPr fontId="3" type="noConversion"/>
  </si>
  <si>
    <r>
      <t xml:space="preserve">      </t>
    </r>
    <r>
      <rPr>
        <b/>
        <sz val="14"/>
        <rFont val="굴림"/>
        <family val="3"/>
        <charset val="129"/>
      </rPr>
      <t>ASNA  유망 T = 50㎜    (10㎡당</t>
    </r>
    <r>
      <rPr>
        <sz val="14"/>
        <rFont val="굴림"/>
        <family val="3"/>
        <charset val="129"/>
      </rPr>
      <t>)</t>
    </r>
    <phoneticPr fontId="3" type="noConversion"/>
  </si>
  <si>
    <t xml:space="preserve">  1) 앵커핀 및 착지핀 홀천공</t>
    <phoneticPr fontId="3" type="noConversion"/>
  </si>
  <si>
    <t>3) 부  착  망    설  치</t>
    <phoneticPr fontId="3" type="noConversion"/>
  </si>
  <si>
    <t>4)  취      부       공</t>
    <phoneticPr fontId="3" type="noConversion"/>
  </si>
  <si>
    <t>자연생태복원(JSB)공[철망 12Cm]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</si>
  <si>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</si>
  <si>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</si>
  <si>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</si>
  <si>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</si>
  <si>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합계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</si>
  <si>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</si>
  <si>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</si>
  <si>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</si>
  <si>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1.고정핀및착지핀 천공</t>
    <phoneticPr fontId="3" type="noConversion"/>
  </si>
  <si>
    <t>발전기</t>
    <phoneticPr fontId="8" type="noConversion"/>
  </si>
  <si>
    <t>100KW</t>
    <phoneticPr fontId="8" type="noConversion"/>
  </si>
  <si>
    <t>HR</t>
    <phoneticPr fontId="3" type="noConversion"/>
  </si>
  <si>
    <t>착암공</t>
    <phoneticPr fontId="8" type="noConversion"/>
  </si>
  <si>
    <t>보통인부</t>
    <phoneticPr fontId="8" type="noConversion"/>
  </si>
  <si>
    <t>드릴비트및손료</t>
    <phoneticPr fontId="8" type="noConversion"/>
  </si>
  <si>
    <t>노무비의</t>
    <phoneticPr fontId="3" type="noConversion"/>
  </si>
  <si>
    <t>%</t>
    <phoneticPr fontId="3" type="noConversion"/>
  </si>
  <si>
    <t>소    계</t>
    <phoneticPr fontId="3" type="noConversion"/>
  </si>
  <si>
    <t>2.고정핀및착지핀 설치</t>
    <phoneticPr fontId="3" type="noConversion"/>
  </si>
  <si>
    <t>고정핀</t>
    <phoneticPr fontId="3" type="noConversion"/>
  </si>
  <si>
    <t>D16-350mm</t>
    <phoneticPr fontId="3" type="noConversion"/>
  </si>
  <si>
    <t>EA</t>
    <phoneticPr fontId="3" type="noConversion"/>
  </si>
  <si>
    <t>착지핀</t>
    <phoneticPr fontId="3" type="noConversion"/>
  </si>
  <si>
    <t>D16-250mm</t>
    <phoneticPr fontId="3" type="noConversion"/>
  </si>
  <si>
    <t>특별인부</t>
    <phoneticPr fontId="3" type="noConversion"/>
  </si>
  <si>
    <t>보통인부</t>
    <phoneticPr fontId="3" type="noConversion"/>
  </si>
  <si>
    <t>3.부착망설치</t>
    <phoneticPr fontId="3" type="noConversion"/>
  </si>
  <si>
    <t>부착망</t>
    <phoneticPr fontId="8" type="noConversion"/>
  </si>
  <si>
    <t>자연생태복원(JSB)공[철망 10Cm]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</si>
  <si>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</si>
  <si>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</si>
  <si>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</si>
  <si>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</si>
  <si>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</si>
  <si>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</si>
  <si>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</si>
  <si>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</si>
  <si>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</si>
  <si>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</si>
  <si>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</si>
  <si>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1.고정핀및착지핀 천공</t>
    <phoneticPr fontId="3" type="noConversion"/>
  </si>
  <si>
    <t>발전기</t>
    <phoneticPr fontId="8" type="noConversion"/>
  </si>
  <si>
    <t>100KW</t>
    <phoneticPr fontId="8" type="noConversion"/>
  </si>
  <si>
    <t>HR</t>
    <phoneticPr fontId="3" type="noConversion"/>
  </si>
  <si>
    <t>착암공</t>
    <phoneticPr fontId="8" type="noConversion"/>
  </si>
  <si>
    <t>인</t>
    <phoneticPr fontId="3" type="noConversion"/>
  </si>
  <si>
    <t>보통인부</t>
    <phoneticPr fontId="8" type="noConversion"/>
  </si>
  <si>
    <t>드릴비트및손료</t>
    <phoneticPr fontId="8" type="noConversion"/>
  </si>
  <si>
    <t>노무비의</t>
    <phoneticPr fontId="3" type="noConversion"/>
  </si>
  <si>
    <t>%</t>
    <phoneticPr fontId="3" type="noConversion"/>
  </si>
  <si>
    <t>소    계</t>
    <phoneticPr fontId="3" type="noConversion"/>
  </si>
  <si>
    <t>2.고정핀및착지핀 설치</t>
    <phoneticPr fontId="3" type="noConversion"/>
  </si>
  <si>
    <t>고정핀</t>
    <phoneticPr fontId="3" type="noConversion"/>
  </si>
  <si>
    <t>D16-350mm</t>
    <phoneticPr fontId="3" type="noConversion"/>
  </si>
  <si>
    <t>EA</t>
    <phoneticPr fontId="3" type="noConversion"/>
  </si>
  <si>
    <t>착지핀</t>
    <phoneticPr fontId="3" type="noConversion"/>
  </si>
  <si>
    <t>D16-250mm</t>
    <phoneticPr fontId="3" type="noConversion"/>
  </si>
  <si>
    <t>특별인부</t>
    <phoneticPr fontId="3" type="noConversion"/>
  </si>
  <si>
    <t>보통인부</t>
    <phoneticPr fontId="3" type="noConversion"/>
  </si>
  <si>
    <t>3.부착망설치</t>
    <phoneticPr fontId="3" type="noConversion"/>
  </si>
  <si>
    <t>부착망</t>
    <phoneticPr fontId="8" type="noConversion"/>
  </si>
  <si>
    <t>#10,58*58,PVC</t>
    <phoneticPr fontId="8" type="noConversion"/>
  </si>
  <si>
    <t>㎡</t>
    <phoneticPr fontId="8" type="noConversion"/>
  </si>
  <si>
    <t>철선</t>
    <phoneticPr fontId="8" type="noConversion"/>
  </si>
  <si>
    <t>#8,PVC코팅</t>
    <phoneticPr fontId="8" type="noConversion"/>
  </si>
  <si>
    <t>M</t>
    <phoneticPr fontId="8" type="noConversion"/>
  </si>
  <si>
    <t>작업반장</t>
    <phoneticPr fontId="3" type="noConversion"/>
  </si>
  <si>
    <t>4. 취 부 공</t>
    <phoneticPr fontId="3" type="noConversion"/>
  </si>
  <si>
    <t>녹화기반제</t>
    <phoneticPr fontId="3" type="noConversion"/>
  </si>
  <si>
    <t>유기질토양</t>
    <phoneticPr fontId="3" type="noConversion"/>
  </si>
  <si>
    <t>L</t>
    <phoneticPr fontId="3" type="noConversion"/>
  </si>
  <si>
    <t>양생제</t>
    <phoneticPr fontId="3" type="noConversion"/>
  </si>
  <si>
    <t>섬유소</t>
    <phoneticPr fontId="3" type="noConversion"/>
  </si>
  <si>
    <t>안정제</t>
    <phoneticPr fontId="3" type="noConversion"/>
  </si>
  <si>
    <t>침식방지제</t>
    <phoneticPr fontId="3" type="noConversion"/>
  </si>
  <si>
    <t>KG</t>
    <phoneticPr fontId="3" type="noConversion"/>
  </si>
  <si>
    <t>단립제</t>
    <phoneticPr fontId="3" type="noConversion"/>
  </si>
  <si>
    <t>구조형성</t>
    <phoneticPr fontId="3" type="noConversion"/>
  </si>
  <si>
    <t>종  자</t>
    <phoneticPr fontId="3" type="noConversion"/>
  </si>
  <si>
    <t>6종혼합</t>
    <phoneticPr fontId="3" type="noConversion"/>
  </si>
  <si>
    <t>G</t>
    <phoneticPr fontId="3" type="noConversion"/>
  </si>
  <si>
    <t>잡재료비</t>
    <phoneticPr fontId="3" type="noConversion"/>
  </si>
  <si>
    <t>재료비의</t>
    <phoneticPr fontId="3" type="noConversion"/>
  </si>
  <si>
    <t>취부기</t>
    <phoneticPr fontId="3" type="noConversion"/>
  </si>
  <si>
    <t>25 L</t>
    <phoneticPr fontId="3" type="noConversion"/>
  </si>
  <si>
    <t>공기압축기</t>
    <phoneticPr fontId="3" type="noConversion"/>
  </si>
  <si>
    <t>17M3/MIN</t>
    <phoneticPr fontId="3" type="noConversion"/>
  </si>
  <si>
    <t>발 전 기</t>
    <phoneticPr fontId="3" type="noConversion"/>
  </si>
  <si>
    <t>100KW</t>
    <phoneticPr fontId="3" type="noConversion"/>
  </si>
  <si>
    <t>트러탑재크레인</t>
    <phoneticPr fontId="3" type="noConversion"/>
  </si>
  <si>
    <t>5.0 TON</t>
    <phoneticPr fontId="3" type="noConversion"/>
  </si>
  <si>
    <t>물 탱 크</t>
    <phoneticPr fontId="3" type="noConversion"/>
  </si>
  <si>
    <t>5,500L</t>
    <phoneticPr fontId="3" type="noConversion"/>
  </si>
  <si>
    <t>덤프트럭</t>
    <phoneticPr fontId="3" type="noConversion"/>
  </si>
  <si>
    <t>6.0 TON</t>
    <phoneticPr fontId="3" type="noConversion"/>
  </si>
  <si>
    <t>기 계 공</t>
    <phoneticPr fontId="3" type="noConversion"/>
  </si>
  <si>
    <t>기구손료</t>
    <phoneticPr fontId="3" type="noConversion"/>
  </si>
  <si>
    <t>* 수직고 20M 이하, 면적1000m2 이상 기준임.</t>
    <phoneticPr fontId="3" type="noConversion"/>
  </si>
  <si>
    <t>총    계</t>
    <phoneticPr fontId="3" type="noConversion"/>
  </si>
  <si>
    <t>D3~5,10~100</t>
    <phoneticPr fontId="3" type="noConversion"/>
  </si>
  <si>
    <t>2. 취 부 공</t>
    <phoneticPr fontId="3" type="noConversion"/>
  </si>
  <si>
    <t>수 량</t>
    <phoneticPr fontId="53" type="noConversion"/>
  </si>
  <si>
    <t>경    비</t>
    <phoneticPr fontId="53" type="noConversion"/>
  </si>
  <si>
    <t>합  계</t>
    <phoneticPr fontId="53" type="noConversion"/>
  </si>
  <si>
    <t>단 가</t>
    <phoneticPr fontId="53" type="noConversion"/>
  </si>
  <si>
    <t>금 액</t>
    <phoneticPr fontId="53" type="noConversion"/>
  </si>
  <si>
    <t>생태숲복원공 ( SEED형 )  - 10 M2 당 -</t>
    <phoneticPr fontId="53" type="noConversion"/>
  </si>
  <si>
    <t>녹화기반토양</t>
    <phoneticPr fontId="53" type="noConversion"/>
  </si>
  <si>
    <t>생태숲복원용</t>
    <phoneticPr fontId="53" type="noConversion"/>
  </si>
  <si>
    <t>입단형성제</t>
    <phoneticPr fontId="53" type="noConversion"/>
  </si>
  <si>
    <t>표토구조형성</t>
    <phoneticPr fontId="53" type="noConversion"/>
  </si>
  <si>
    <t>종자(표준형)</t>
    <phoneticPr fontId="53" type="noConversion"/>
  </si>
  <si>
    <t>생태복원용</t>
    <phoneticPr fontId="53" type="noConversion"/>
  </si>
  <si>
    <r>
      <t>4.3 M</t>
    </r>
    <r>
      <rPr>
        <vertAlign val="superscript"/>
        <sz val="11"/>
        <rFont val="굴림"/>
        <family val="3"/>
        <charset val="129"/>
      </rPr>
      <t>3</t>
    </r>
    <phoneticPr fontId="53" type="noConversion"/>
  </si>
  <si>
    <r>
      <t>4.3 M</t>
    </r>
    <r>
      <rPr>
        <vertAlign val="superscript"/>
        <sz val="11"/>
        <rFont val="굴림"/>
        <family val="3"/>
        <charset val="129"/>
      </rPr>
      <t>3</t>
    </r>
    <phoneticPr fontId="53" type="noConversion"/>
  </si>
  <si>
    <t>NGR 코아네트 Seed</t>
    <phoneticPr fontId="3" type="noConversion"/>
  </si>
  <si>
    <t>1.코아네트망설치</t>
    <phoneticPr fontId="3" type="noConversion"/>
  </si>
  <si>
    <t>코아네트</t>
    <phoneticPr fontId="3" type="noConversion"/>
  </si>
  <si>
    <t>코아넷(20x20)</t>
    <phoneticPr fontId="3" type="noConversion"/>
  </si>
  <si>
    <t>M2</t>
    <phoneticPr fontId="3" type="noConversion"/>
  </si>
  <si>
    <t>L-200</t>
    <phoneticPr fontId="3" type="noConversion"/>
  </si>
  <si>
    <t>작업반장</t>
    <phoneticPr fontId="3" type="noConversion"/>
  </si>
  <si>
    <t>잡재료비</t>
    <phoneticPr fontId="3" type="noConversion"/>
  </si>
  <si>
    <t>제료비의 %</t>
    <phoneticPr fontId="3" type="noConversion"/>
  </si>
  <si>
    <t>4. 취 부 공</t>
    <phoneticPr fontId="3" type="noConversion"/>
  </si>
  <si>
    <t>NGR Seed</t>
    <phoneticPr fontId="3" type="noConversion"/>
  </si>
  <si>
    <t>10종이상</t>
    <phoneticPr fontId="3" type="noConversion"/>
  </si>
  <si>
    <t>KG</t>
    <phoneticPr fontId="3" type="noConversion"/>
  </si>
  <si>
    <t>NGR Spring</t>
    <phoneticPr fontId="3" type="noConversion"/>
  </si>
  <si>
    <t>Seed대체</t>
    <phoneticPr fontId="3" type="noConversion"/>
  </si>
  <si>
    <t>식생기반재</t>
    <phoneticPr fontId="3" type="noConversion"/>
  </si>
  <si>
    <t>NGR soil-20</t>
    <phoneticPr fontId="3" type="noConversion"/>
  </si>
  <si>
    <t>L</t>
    <phoneticPr fontId="3" type="noConversion"/>
  </si>
  <si>
    <t>식생보조재</t>
    <phoneticPr fontId="3" type="noConversion"/>
  </si>
  <si>
    <t>NGR soilplus</t>
    <phoneticPr fontId="3" type="noConversion"/>
  </si>
  <si>
    <t>물 탱 크</t>
    <phoneticPr fontId="3" type="noConversion"/>
  </si>
  <si>
    <t>5,500L</t>
    <phoneticPr fontId="3" type="noConversion"/>
  </si>
  <si>
    <t>HR</t>
    <phoneticPr fontId="3" type="noConversion"/>
  </si>
  <si>
    <t>믹스및취부기</t>
    <phoneticPr fontId="3" type="noConversion"/>
  </si>
  <si>
    <t>MnS2</t>
    <phoneticPr fontId="3" type="noConversion"/>
  </si>
  <si>
    <t>작업반장</t>
    <phoneticPr fontId="3" type="noConversion"/>
  </si>
  <si>
    <t>인</t>
    <phoneticPr fontId="3" type="noConversion"/>
  </si>
  <si>
    <t>특별인부</t>
    <phoneticPr fontId="3" type="noConversion"/>
  </si>
  <si>
    <t>기 계 공</t>
    <phoneticPr fontId="3" type="noConversion"/>
  </si>
  <si>
    <t>보통인부</t>
    <phoneticPr fontId="3" type="noConversion"/>
  </si>
  <si>
    <t>계</t>
    <phoneticPr fontId="3" type="noConversion"/>
  </si>
  <si>
    <t>총    계</t>
    <phoneticPr fontId="3" type="noConversion"/>
  </si>
  <si>
    <t>NGR 천연섬유망 1T</t>
    <phoneticPr fontId="3" type="noConversion"/>
  </si>
  <si>
    <t>[단위 : m2 당]</t>
    <phoneticPr fontId="3" type="noConversion"/>
  </si>
  <si>
    <t>명칭</t>
    <phoneticPr fontId="3" type="noConversion"/>
  </si>
  <si>
    <t>규격</t>
    <phoneticPr fontId="3" type="noConversion"/>
  </si>
  <si>
    <t>수량</t>
    <phoneticPr fontId="3" type="noConversion"/>
  </si>
  <si>
    <t>단위</t>
    <phoneticPr fontId="3" type="noConversion"/>
  </si>
  <si>
    <t>합계</t>
    <phoneticPr fontId="3" type="noConversion"/>
  </si>
  <si>
    <t>재료비</t>
    <phoneticPr fontId="3" type="noConversion"/>
  </si>
  <si>
    <t>노무비</t>
    <phoneticPr fontId="3" type="noConversion"/>
  </si>
  <si>
    <t>경비</t>
    <phoneticPr fontId="3" type="noConversion"/>
  </si>
  <si>
    <t>단가</t>
    <phoneticPr fontId="3" type="noConversion"/>
  </si>
  <si>
    <t>금액</t>
    <phoneticPr fontId="3" type="noConversion"/>
  </si>
  <si>
    <t>1.천연섬유망설치</t>
    <phoneticPr fontId="3" type="noConversion"/>
  </si>
  <si>
    <t>식생네트</t>
    <phoneticPr fontId="3" type="noConversion"/>
  </si>
  <si>
    <t>천연넷(20x20)</t>
    <phoneticPr fontId="3" type="noConversion"/>
  </si>
  <si>
    <t>M2</t>
    <phoneticPr fontId="3" type="noConversion"/>
  </si>
  <si>
    <t>고정핀</t>
    <phoneticPr fontId="3" type="noConversion"/>
  </si>
  <si>
    <t>L-200</t>
    <phoneticPr fontId="3" type="noConversion"/>
  </si>
  <si>
    <t>EA</t>
    <phoneticPr fontId="3" type="noConversion"/>
  </si>
  <si>
    <t>잡재료비</t>
    <phoneticPr fontId="3" type="noConversion"/>
  </si>
  <si>
    <t>제료비의 %</t>
    <phoneticPr fontId="3" type="noConversion"/>
  </si>
  <si>
    <t>%</t>
    <phoneticPr fontId="3" type="noConversion"/>
  </si>
  <si>
    <t>소    계</t>
    <phoneticPr fontId="3" type="noConversion"/>
  </si>
  <si>
    <t>4. 취 부 공</t>
    <phoneticPr fontId="3" type="noConversion"/>
  </si>
  <si>
    <t>NGR Seed</t>
    <phoneticPr fontId="3" type="noConversion"/>
  </si>
  <si>
    <t>10종이상</t>
    <phoneticPr fontId="3" type="noConversion"/>
  </si>
  <si>
    <t>KG</t>
    <phoneticPr fontId="3" type="noConversion"/>
  </si>
  <si>
    <t>NGR Spring</t>
    <phoneticPr fontId="3" type="noConversion"/>
  </si>
  <si>
    <t>Seed대체</t>
    <phoneticPr fontId="3" type="noConversion"/>
  </si>
  <si>
    <t>NGR Pot</t>
    <phoneticPr fontId="3" type="noConversion"/>
  </si>
  <si>
    <t>선택사양</t>
    <phoneticPr fontId="3" type="noConversion"/>
  </si>
  <si>
    <t>본</t>
    <phoneticPr fontId="3" type="noConversion"/>
  </si>
  <si>
    <t>덤프트럭</t>
    <phoneticPr fontId="3" type="noConversion"/>
  </si>
  <si>
    <t>8.0 TON</t>
    <phoneticPr fontId="3" type="noConversion"/>
  </si>
  <si>
    <t>트러탑재크레인</t>
    <phoneticPr fontId="3" type="noConversion"/>
  </si>
  <si>
    <t>5.0 TON</t>
    <phoneticPr fontId="3" type="noConversion"/>
  </si>
  <si>
    <t>기구손료</t>
    <phoneticPr fontId="3" type="noConversion"/>
  </si>
  <si>
    <t>인건비의 %</t>
    <phoneticPr fontId="3" type="noConversion"/>
  </si>
  <si>
    <t>NGR 천연섬유망 2T</t>
    <phoneticPr fontId="3" type="noConversion"/>
  </si>
  <si>
    <t>천연면네트(20x20)</t>
    <phoneticPr fontId="3" type="noConversion"/>
  </si>
  <si>
    <t>NGR 천연섬유망 3T</t>
    <phoneticPr fontId="3" type="noConversion"/>
  </si>
  <si>
    <t>NGR soil-30</t>
    <phoneticPr fontId="3" type="noConversion"/>
  </si>
  <si>
    <t>NGR 철망 4T</t>
    <phoneticPr fontId="3" type="noConversion"/>
  </si>
  <si>
    <t>1.고정핀및착지핀 천공</t>
    <phoneticPr fontId="3" type="noConversion"/>
  </si>
  <si>
    <t>발전기</t>
    <phoneticPr fontId="8" type="noConversion"/>
  </si>
  <si>
    <t>50KW</t>
    <phoneticPr fontId="8" type="noConversion"/>
  </si>
  <si>
    <t>착암공</t>
    <phoneticPr fontId="8" type="noConversion"/>
  </si>
  <si>
    <t>보통인부</t>
    <phoneticPr fontId="8" type="noConversion"/>
  </si>
  <si>
    <t>드릴비트및손료</t>
    <phoneticPr fontId="8" type="noConversion"/>
  </si>
  <si>
    <t>노무비의</t>
    <phoneticPr fontId="3" type="noConversion"/>
  </si>
  <si>
    <t>2.고정핀및착지핀 설치</t>
    <phoneticPr fontId="3" type="noConversion"/>
  </si>
  <si>
    <t>D16-350mm</t>
    <phoneticPr fontId="3" type="noConversion"/>
  </si>
  <si>
    <t>착지핀</t>
    <phoneticPr fontId="3" type="noConversion"/>
  </si>
  <si>
    <t>D16-250mm</t>
    <phoneticPr fontId="3" type="noConversion"/>
  </si>
  <si>
    <t>3.부착망설치</t>
    <phoneticPr fontId="3" type="noConversion"/>
  </si>
  <si>
    <t>부착망</t>
    <phoneticPr fontId="8" type="noConversion"/>
  </si>
  <si>
    <t>#10,58*58,PVC</t>
    <phoneticPr fontId="8" type="noConversion"/>
  </si>
  <si>
    <t>㎡</t>
    <phoneticPr fontId="8" type="noConversion"/>
  </si>
  <si>
    <t>철선</t>
    <phoneticPr fontId="8" type="noConversion"/>
  </si>
  <si>
    <t>#8,PVC코팅</t>
    <phoneticPr fontId="8" type="noConversion"/>
  </si>
  <si>
    <t>M</t>
    <phoneticPr fontId="8" type="noConversion"/>
  </si>
  <si>
    <t>NGR soil-40</t>
    <phoneticPr fontId="3" type="noConversion"/>
  </si>
  <si>
    <t>NGR 철망 5T</t>
    <phoneticPr fontId="3" type="noConversion"/>
  </si>
  <si>
    <t>NGR soil-50</t>
    <phoneticPr fontId="3" type="noConversion"/>
  </si>
  <si>
    <t>소     계</t>
    <phoneticPr fontId="3" type="noConversion"/>
  </si>
  <si>
    <t>2.앵커핀 및 착지핀 설치</t>
    <phoneticPr fontId="3" type="noConversion"/>
  </si>
  <si>
    <t xml:space="preserve"> 일 위 대 가 표</t>
    <phoneticPr fontId="3" type="noConversion"/>
  </si>
  <si>
    <t>환경생태복원 MUDPACK SPRAY  ㎡ 당 [절·성토비탈면: 도로,경사가완만한 토사지역]</t>
    <phoneticPr fontId="3" type="noConversion"/>
  </si>
  <si>
    <t>명     칭</t>
    <phoneticPr fontId="3" type="noConversion"/>
  </si>
  <si>
    <t>규     격</t>
    <phoneticPr fontId="3" type="noConversion"/>
  </si>
  <si>
    <t>단위</t>
    <phoneticPr fontId="3" type="noConversion"/>
  </si>
  <si>
    <t>수  량</t>
    <phoneticPr fontId="3" type="noConversion"/>
  </si>
  <si>
    <t>재 료 비</t>
    <phoneticPr fontId="3" type="noConversion"/>
  </si>
  <si>
    <t>노 무 비</t>
    <phoneticPr fontId="3" type="noConversion"/>
  </si>
  <si>
    <t>경   비</t>
    <phoneticPr fontId="3" type="noConversion"/>
  </si>
  <si>
    <t>합   계</t>
    <phoneticPr fontId="3" type="noConversion"/>
  </si>
  <si>
    <t>비고</t>
    <phoneticPr fontId="3" type="noConversion"/>
  </si>
  <si>
    <t>단가</t>
    <phoneticPr fontId="3" type="noConversion"/>
  </si>
  <si>
    <t>금액</t>
    <phoneticPr fontId="3" type="noConversion"/>
  </si>
  <si>
    <t>MUD토[ I호 ]</t>
    <phoneticPr fontId="3" type="noConversion"/>
  </si>
  <si>
    <t>친환경습식토양</t>
    <phoneticPr fontId="3" type="noConversion"/>
  </si>
  <si>
    <t>㎥</t>
    <phoneticPr fontId="3" type="noConversion"/>
  </si>
  <si>
    <t>토양응집제</t>
    <phoneticPr fontId="3" type="noConversion"/>
  </si>
  <si>
    <t>g</t>
    <phoneticPr fontId="3" type="noConversion"/>
  </si>
  <si>
    <t>볏짚거적</t>
    <phoneticPr fontId="3" type="noConversion"/>
  </si>
  <si>
    <t>100*100</t>
    <phoneticPr fontId="3" type="noConversion"/>
  </si>
  <si>
    <t>㎡</t>
    <phoneticPr fontId="3" type="noConversion"/>
  </si>
  <si>
    <t>앙 카 핀</t>
    <phoneticPr fontId="3" type="noConversion"/>
  </si>
  <si>
    <t>L=20-30</t>
    <phoneticPr fontId="3" type="noConversion"/>
  </si>
  <si>
    <t>개</t>
    <phoneticPr fontId="3" type="noConversion"/>
  </si>
  <si>
    <t>비 닐 끈</t>
    <phoneticPr fontId="3" type="noConversion"/>
  </si>
  <si>
    <t>M</t>
    <phoneticPr fontId="3" type="noConversion"/>
  </si>
  <si>
    <t>종    자</t>
    <phoneticPr fontId="3" type="noConversion"/>
  </si>
  <si>
    <t>양잔디혼합3종</t>
    <phoneticPr fontId="3" type="noConversion"/>
  </si>
  <si>
    <t>향토초화목본5종</t>
    <phoneticPr fontId="3" type="noConversion"/>
  </si>
  <si>
    <t>비    료</t>
    <phoneticPr fontId="3" type="noConversion"/>
  </si>
  <si>
    <t>복합비료</t>
    <phoneticPr fontId="3" type="noConversion"/>
  </si>
  <si>
    <t>kg</t>
    <phoneticPr fontId="3" type="noConversion"/>
  </si>
  <si>
    <t>종자살포기</t>
    <phoneticPr fontId="3" type="noConversion"/>
  </si>
  <si>
    <t>리뷰터3000ℓ개량형</t>
    <phoneticPr fontId="3" type="noConversion"/>
  </si>
  <si>
    <t>hr</t>
    <phoneticPr fontId="3" type="noConversion"/>
  </si>
  <si>
    <t>물 탱 크</t>
    <phoneticPr fontId="3" type="noConversion"/>
  </si>
  <si>
    <t>5,500L</t>
    <phoneticPr fontId="3" type="noConversion"/>
  </si>
  <si>
    <t>트럭탑재형크레인</t>
    <phoneticPr fontId="3" type="noConversion"/>
  </si>
  <si>
    <t>5TON</t>
    <phoneticPr fontId="3" type="noConversion"/>
  </si>
  <si>
    <t>덤프트럭</t>
    <phoneticPr fontId="3" type="noConversion"/>
  </si>
  <si>
    <t>6TON</t>
    <phoneticPr fontId="3" type="noConversion"/>
  </si>
  <si>
    <t>작업반장</t>
    <phoneticPr fontId="3" type="noConversion"/>
  </si>
  <si>
    <t>인</t>
    <phoneticPr fontId="3" type="noConversion"/>
  </si>
  <si>
    <t>특별인부</t>
    <phoneticPr fontId="3" type="noConversion"/>
  </si>
  <si>
    <t>보통인부</t>
    <phoneticPr fontId="3" type="noConversion"/>
  </si>
  <si>
    <t xml:space="preserve">소          계 </t>
    <phoneticPr fontId="3" type="noConversion"/>
  </si>
  <si>
    <t>잡재료비</t>
    <phoneticPr fontId="3" type="noConversion"/>
  </si>
  <si>
    <t>재료비의3%</t>
    <phoneticPr fontId="3" type="noConversion"/>
  </si>
  <si>
    <t>기계손료</t>
    <phoneticPr fontId="3" type="noConversion"/>
  </si>
  <si>
    <t>노무비의2.5%</t>
    <phoneticPr fontId="3" type="noConversion"/>
  </si>
  <si>
    <t>합          계</t>
    <phoneticPr fontId="3" type="noConversion"/>
  </si>
  <si>
    <t xml:space="preserve">잔     디 </t>
    <phoneticPr fontId="3" type="noConversion"/>
  </si>
  <si>
    <t>이 지 그 린 매 트</t>
    <phoneticPr fontId="3" type="noConversion"/>
  </si>
  <si>
    <t>자연생태복원공법(JSB)</t>
    <phoneticPr fontId="3" type="noConversion"/>
  </si>
  <si>
    <t>법면배토습식공법(ASNA)</t>
    <phoneticPr fontId="3" type="noConversion"/>
  </si>
  <si>
    <t>자연표토복원공법(SF)</t>
    <phoneticPr fontId="3" type="noConversion"/>
  </si>
  <si>
    <t>자생식물녹화공법(NGR)</t>
    <phoneticPr fontId="3" type="noConversion"/>
  </si>
  <si>
    <t>MUDPACK</t>
    <phoneticPr fontId="3" type="noConversion"/>
  </si>
  <si>
    <t>연속장섬유보강공법(텍솔)</t>
    <phoneticPr fontId="3" type="noConversion"/>
  </si>
  <si>
    <t>이지그린매트 B형</t>
    <phoneticPr fontId="69" type="noConversion"/>
  </si>
  <si>
    <t>공 종</t>
    <phoneticPr fontId="3" type="noConversion"/>
  </si>
  <si>
    <t>합   계</t>
    <phoneticPr fontId="69" type="noConversion"/>
  </si>
  <si>
    <t>재 료 비</t>
    <phoneticPr fontId="3" type="noConversion"/>
  </si>
  <si>
    <t>노 무 비</t>
    <phoneticPr fontId="3" type="noConversion"/>
  </si>
  <si>
    <t>경    비</t>
    <phoneticPr fontId="3" type="noConversion"/>
  </si>
  <si>
    <t>단  가</t>
    <phoneticPr fontId="3" type="noConversion"/>
  </si>
  <si>
    <t>금  액</t>
    <phoneticPr fontId="3" type="noConversion"/>
  </si>
  <si>
    <r>
      <t>1. 이지그린매트 설치공사  1m</t>
    </r>
    <r>
      <rPr>
        <b/>
        <vertAlign val="superscript"/>
        <sz val="9"/>
        <rFont val="굴림"/>
        <family val="3"/>
        <charset val="129"/>
      </rPr>
      <t>2</t>
    </r>
    <r>
      <rPr>
        <b/>
        <sz val="9"/>
        <rFont val="굴림"/>
        <family val="3"/>
        <charset val="129"/>
      </rPr>
      <t>당 단가</t>
    </r>
    <phoneticPr fontId="3" type="noConversion"/>
  </si>
  <si>
    <t>가. 재 료 비</t>
    <phoneticPr fontId="3" type="noConversion"/>
  </si>
  <si>
    <t>이지그린매트</t>
    <phoneticPr fontId="3" type="noConversion"/>
  </si>
  <si>
    <t xml:space="preserve"> B 형</t>
    <phoneticPr fontId="3" type="noConversion"/>
  </si>
  <si>
    <r>
      <t>m</t>
    </r>
    <r>
      <rPr>
        <vertAlign val="superscript"/>
        <sz val="9"/>
        <color indexed="8"/>
        <rFont val="굴림"/>
        <family val="3"/>
        <charset val="129"/>
      </rPr>
      <t>2</t>
    </r>
    <phoneticPr fontId="3" type="noConversion"/>
  </si>
  <si>
    <t>L=20~30cm</t>
    <phoneticPr fontId="3" type="noConversion"/>
  </si>
  <si>
    <t>고정끈</t>
    <phoneticPr fontId="3" type="noConversion"/>
  </si>
  <si>
    <t>소     계</t>
    <phoneticPr fontId="69" type="noConversion"/>
  </si>
  <si>
    <t>나. 설 치 비</t>
    <phoneticPr fontId="3" type="noConversion"/>
  </si>
  <si>
    <t>천연섬유설치</t>
    <phoneticPr fontId="3" type="noConversion"/>
  </si>
  <si>
    <t>물 탱 크</t>
    <phoneticPr fontId="3" type="noConversion"/>
  </si>
  <si>
    <t>5000L</t>
    <phoneticPr fontId="3" type="noConversion"/>
  </si>
  <si>
    <r>
      <t>* 1 m</t>
    </r>
    <r>
      <rPr>
        <b/>
        <vertAlign val="superscript"/>
        <sz val="9"/>
        <rFont val="굴림"/>
        <family val="3"/>
        <charset val="129"/>
      </rPr>
      <t xml:space="preserve">2 </t>
    </r>
    <r>
      <rPr>
        <b/>
        <sz val="9"/>
        <rFont val="굴림"/>
        <family val="3"/>
        <charset val="129"/>
      </rPr>
      <t>당 단가</t>
    </r>
    <phoneticPr fontId="3" type="noConversion"/>
  </si>
  <si>
    <t>* 부가세 별도</t>
    <phoneticPr fontId="3" type="noConversion"/>
  </si>
  <si>
    <t>* 종자는 도로비탈면 녹화설계 및 시공지침에 의한 종자배합 설계임</t>
    <phoneticPr fontId="3" type="noConversion"/>
  </si>
  <si>
    <t>見   積   書</t>
    <phoneticPr fontId="3" type="noConversion"/>
  </si>
  <si>
    <t>동  아  에  스  텍  ㈜</t>
    <phoneticPr fontId="66" type="noConversion"/>
  </si>
  <si>
    <t xml:space="preserve">  貴下</t>
    <phoneticPr fontId="66" type="noConversion"/>
  </si>
  <si>
    <t>◈본  사: 전남 화순군 동면 운농리 1039-1</t>
    <phoneticPr fontId="3" type="noConversion"/>
  </si>
  <si>
    <t>現場名 :</t>
    <phoneticPr fontId="66" type="noConversion"/>
  </si>
  <si>
    <t xml:space="preserve">  전  화: (0 6 1) 3 7 3 - 8 1 9 0 ~ 4</t>
    <phoneticPr fontId="66" type="noConversion"/>
  </si>
  <si>
    <t xml:space="preserve">   F A X: (0 6 1) 3 7 3 - 8 1 9 5</t>
    <phoneticPr fontId="66" type="noConversion"/>
  </si>
  <si>
    <t>工事名 : 이지그린매트 설치공사</t>
    <phoneticPr fontId="66" type="noConversion"/>
  </si>
  <si>
    <r>
      <t xml:space="preserve">◈지  사: </t>
    </r>
    <r>
      <rPr>
        <sz val="10"/>
        <rFont val="궁서"/>
        <family val="1"/>
        <charset val="129"/>
      </rPr>
      <t>경기도 성남시 중원구 상대원동 5442-1</t>
    </r>
    <phoneticPr fontId="3" type="noConversion"/>
  </si>
  <si>
    <t xml:space="preserve">    전  화: (0 3 1) 7 3 7 - 7 8 0 0 </t>
    <phoneticPr fontId="66" type="noConversion"/>
  </si>
  <si>
    <t xml:space="preserve">     F A X : (0 3 1) 7 7 7 - 8 3 2 5</t>
    <phoneticPr fontId="66" type="noConversion"/>
  </si>
  <si>
    <t>하기와 같이 견적합니다.</t>
    <phoneticPr fontId="66" type="noConversion"/>
  </si>
  <si>
    <t xml:space="preserve">  DATE  2010 년  1 월    일</t>
    <phoneticPr fontId="3" type="noConversion"/>
  </si>
  <si>
    <t>金    額 : 금                      -- 원정.    (\                            --- )</t>
    <phoneticPr fontId="3" type="noConversion"/>
  </si>
  <si>
    <t>기호</t>
    <phoneticPr fontId="81" type="noConversion"/>
  </si>
  <si>
    <t>공   종</t>
    <phoneticPr fontId="3" type="noConversion"/>
  </si>
  <si>
    <t>규  격</t>
    <phoneticPr fontId="3" type="noConversion"/>
  </si>
  <si>
    <t>수량</t>
    <phoneticPr fontId="3" type="noConversion"/>
  </si>
  <si>
    <t>단위</t>
    <phoneticPr fontId="3" type="noConversion"/>
  </si>
  <si>
    <t>총    액</t>
    <phoneticPr fontId="3" type="noConversion"/>
  </si>
  <si>
    <t>재 료 비</t>
    <phoneticPr fontId="3" type="noConversion"/>
  </si>
  <si>
    <t>노 무 비</t>
    <phoneticPr fontId="3" type="noConversion"/>
  </si>
  <si>
    <t>경   비</t>
    <phoneticPr fontId="3" type="noConversion"/>
  </si>
  <si>
    <t>비 고</t>
    <phoneticPr fontId="3" type="noConversion"/>
  </si>
  <si>
    <t>단 가</t>
    <phoneticPr fontId="81" type="noConversion"/>
  </si>
  <si>
    <t>금 액</t>
    <phoneticPr fontId="81" type="noConversion"/>
  </si>
  <si>
    <t>이지그린매트 설치공사</t>
    <phoneticPr fontId="81" type="noConversion"/>
  </si>
  <si>
    <t>가</t>
    <phoneticPr fontId="81" type="noConversion"/>
  </si>
  <si>
    <t>이지그린매트</t>
    <phoneticPr fontId="81" type="noConversion"/>
  </si>
  <si>
    <t>A 형</t>
    <phoneticPr fontId="81" type="noConversion"/>
  </si>
  <si>
    <r>
      <t>m</t>
    </r>
    <r>
      <rPr>
        <vertAlign val="superscript"/>
        <sz val="9"/>
        <rFont val="돋움"/>
        <family val="3"/>
        <charset val="129"/>
      </rPr>
      <t>2</t>
    </r>
    <phoneticPr fontId="81" type="noConversion"/>
  </si>
  <si>
    <t>골프장시공 별도</t>
    <phoneticPr fontId="3" type="noConversion"/>
  </si>
  <si>
    <t>나</t>
    <phoneticPr fontId="81" type="noConversion"/>
  </si>
  <si>
    <t>B 형</t>
    <phoneticPr fontId="81" type="noConversion"/>
  </si>
  <si>
    <t>다</t>
    <phoneticPr fontId="81" type="noConversion"/>
  </si>
  <si>
    <t>C 형</t>
    <phoneticPr fontId="3" type="noConversion"/>
  </si>
  <si>
    <t>* 부가세 별도</t>
    <phoneticPr fontId="3" type="noConversion"/>
  </si>
  <si>
    <t>이지그린매트 A형</t>
    <phoneticPr fontId="69" type="noConversion"/>
  </si>
  <si>
    <t>A 형</t>
    <phoneticPr fontId="3" type="noConversion"/>
  </si>
</sst>
</file>

<file path=xl/styles.xml><?xml version="1.0" encoding="utf-8"?>
<styleSheet xmlns="http://schemas.openxmlformats.org/spreadsheetml/2006/main">
  <numFmts count="53">
    <numFmt numFmtId="41" formatCode="_-* #,##0_-;\-* #,##0_-;_-* &quot;-&quot;_-;_-@_-"/>
    <numFmt numFmtId="176" formatCode="0.0"/>
    <numFmt numFmtId="177" formatCode="0.000"/>
    <numFmt numFmtId="178" formatCode="_ * #,##0_ ;_ * \-#,##0_ ;_ * &quot;-&quot;_ ;_ @_ "/>
    <numFmt numFmtId="179" formatCode="_ * #,##0.00_ ;_ * \-#,##0.00_ ;_ * &quot;-&quot;??_ ;_ @_ "/>
    <numFmt numFmtId="180" formatCode="_ * #,##0.00_ ;_ * \-#,##0.00_ ;_ * &quot;-&quot;_ ;_ @_ "/>
    <numFmt numFmtId="181" formatCode="&quot;₩&quot;#,##0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\-#,##0.00"/>
    <numFmt numFmtId="183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#,##0_ "/>
    <numFmt numFmtId="185" formatCode="#,##0_);[Red]\(#,##0\)"/>
    <numFmt numFmtId="186" formatCode="#,##0.00_ "/>
    <numFmt numFmtId="187" formatCode="0.0000"/>
    <numFmt numFmtId="188" formatCode="#,##0_;"/>
    <numFmt numFmtId="189" formatCode=";;"/>
    <numFmt numFmtId="190" formatCode="#,##0.00&quot;원&quot;"/>
    <numFmt numFmtId="191" formatCode="General_;"/>
    <numFmt numFmtId="192" formatCode="#,##0.00_;"/>
    <numFmt numFmtId="193" formatCode="&quot;($&quot;* #,##0.000&quot;)&quot;"/>
    <numFmt numFmtId="194" formatCode="&quot;₩&quot;#,##0;&quot;₩&quot;\-#,##0"/>
    <numFmt numFmtId="195" formatCode="&quot;₩&quot;#,##0.00\ ;\(&quot;₩&quot;#,##0.00\)"/>
    <numFmt numFmtId="196" formatCode="#,##0;[Red]#,##0"/>
    <numFmt numFmtId="197" formatCode="#,##0.0;[Red]#,##0.0"/>
    <numFmt numFmtId="198" formatCode="#,##0.00;[Red]#,##0.00"/>
    <numFmt numFmtId="199" formatCode="#,##0.000;[Red]#,##0.000"/>
    <numFmt numFmtId="200" formatCode="#,##0.0"/>
    <numFmt numFmtId="201" formatCode="#,##0.00_);[Red]\(#,##0.00\)"/>
    <numFmt numFmtId="202" formatCode="&quot;($&quot;* #,##0.0&quot;)&quot;"/>
    <numFmt numFmtId="203" formatCode="&quot;($&quot;* #,##0&quot;)&quot;"/>
    <numFmt numFmtId="204" formatCode="&quot;($&quot;#,##0&quot;)&quot;"/>
    <numFmt numFmtId="205" formatCode="#,##0.0000;[Red]#,##0.0000"/>
    <numFmt numFmtId="206" formatCode="_-* #,##0.0_-;\-* #,##0.0_-;_-* &quot;-&quot;_-;_-@_-"/>
    <numFmt numFmtId="207" formatCode="_-* #,##0.00_-;\-* #,##0.00_-;_-* &quot;-&quot;_-;_-@_-"/>
    <numFmt numFmtId="208" formatCode="_-* #,##0.000_-;\-* #,##0.000_-;_-* &quot;-&quot;_-;_-@_-"/>
    <numFmt numFmtId="209" formatCode="_-* #,##0.0_-;\-* #,##0.0_-;_-* &quot;-&quot;?_-;_-@_-"/>
    <numFmt numFmtId="210" formatCode="_ * #,##0.0_ ;_ * \-#,##0.0_ ;_ * &quot;-&quot;_ ;_ @_ "/>
    <numFmt numFmtId="211" formatCode="_ * #,##0.000_ ;_ * \-#,##0.000_ ;_ * &quot;-&quot;_ ;_ @_ "/>
    <numFmt numFmtId="212" formatCode="_-* #,##0_-;\-* #,##0_-;_-* &quot;-&quot;?_-;_-@_-"/>
    <numFmt numFmtId="213" formatCode="&quot;( &quot;#,##0&quot; \/m2 )&quot;"/>
    <numFmt numFmtId="214" formatCode="0.000%"/>
    <numFmt numFmtId="215" formatCode="#,##0.0_);[Red]\(#,##0.0\)"/>
    <numFmt numFmtId="216" formatCode="&quot;＃.&quot;0"/>
    <numFmt numFmtId="217" formatCode="General;\-General\,&quot;&quot;;@"/>
    <numFmt numFmtId="218" formatCode="_-* #,##0.0000_-;\-* #,##0.0000_-;_-* &quot;-&quot;_-;_-@_-"/>
    <numFmt numFmtId="219" formatCode="0_);[Red]\(0\)"/>
    <numFmt numFmtId="220" formatCode="_-* #,##0.00000_-;\-* #,##0.00000_-;_-* &quot;-&quot;_-;_-@_-"/>
    <numFmt numFmtId="221" formatCode="mm&quot;월&quot;\ dd&quot;일&quot;"/>
    <numFmt numFmtId="222" formatCode="_-[$€-2]* #,##0.00_-;\-[$€-2]* #,##0.00_-;_-[$€-2]* &quot;-&quot;??_-"/>
    <numFmt numFmtId="223" formatCode="#,##0.000_ "/>
    <numFmt numFmtId="224" formatCode="0.000_ "/>
    <numFmt numFmtId="226" formatCode="&quot;제&quot;\ 0&quot;호표&quot;."/>
    <numFmt numFmtId="229" formatCode="0.00_ "/>
    <numFmt numFmtId="231" formatCode="0.0000_ "/>
  </numFmts>
  <fonts count="117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0"/>
      <name val="Arial"/>
      <family val="2"/>
    </font>
    <font>
      <sz val="12"/>
      <name val="뼻뮝"/>
      <family val="3"/>
      <charset val="129"/>
    </font>
    <font>
      <sz val="12"/>
      <name val="바탕체"/>
      <family val="1"/>
      <charset val="129"/>
    </font>
    <font>
      <sz val="12"/>
      <name val="System"/>
      <family val="2"/>
      <charset val="129"/>
    </font>
    <font>
      <sz val="12"/>
      <name val="¹UAAA¼"/>
      <family val="1"/>
      <charset val="129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36"/>
      <name val="Arial"/>
      <family val="2"/>
    </font>
    <font>
      <sz val="16"/>
      <name val="돋움"/>
      <family val="3"/>
      <charset val="129"/>
    </font>
    <font>
      <sz val="10"/>
      <name val="돋움"/>
      <family val="3"/>
      <charset val="129"/>
    </font>
    <font>
      <sz val="7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6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10"/>
      <name val="굴림체"/>
      <family val="3"/>
      <charset val="129"/>
    </font>
    <font>
      <sz val="10"/>
      <color indexed="10"/>
      <name val="굴림체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b/>
      <sz val="13"/>
      <name val="돋움체"/>
      <family val="3"/>
      <charset val="129"/>
    </font>
    <font>
      <sz val="11"/>
      <name val="돋움체"/>
      <family val="3"/>
      <charset val="129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sz val="9"/>
      <name val="돋움체"/>
      <family val="3"/>
      <charset val="129"/>
    </font>
    <font>
      <sz val="11"/>
      <color indexed="10"/>
      <name val="돋움체"/>
      <family val="3"/>
      <charset val="129"/>
    </font>
    <font>
      <b/>
      <sz val="11"/>
      <name val="돋움체"/>
      <family val="3"/>
      <charset val="129"/>
    </font>
    <font>
      <b/>
      <sz val="16"/>
      <name val="돋움체"/>
      <family val="3"/>
      <charset val="129"/>
    </font>
    <font>
      <b/>
      <u/>
      <sz val="14"/>
      <name val="돋움체"/>
      <family val="3"/>
      <charset val="129"/>
    </font>
    <font>
      <b/>
      <sz val="14"/>
      <name val="돋움체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b/>
      <sz val="8"/>
      <name val="돋움"/>
      <family val="3"/>
      <charset val="129"/>
    </font>
    <font>
      <b/>
      <sz val="13"/>
      <name val="돋움"/>
      <family val="3"/>
      <charset val="129"/>
    </font>
    <font>
      <sz val="12"/>
      <color indexed="10"/>
      <name val="돋움"/>
      <family val="3"/>
      <charset val="129"/>
    </font>
    <font>
      <u/>
      <sz val="10"/>
      <name val="돋움체"/>
      <family val="3"/>
      <charset val="129"/>
    </font>
    <font>
      <sz val="12"/>
      <name val="돋움체"/>
      <family val="3"/>
      <charset val="129"/>
    </font>
    <font>
      <sz val="11"/>
      <name val="Courier"/>
      <family val="3"/>
    </font>
    <font>
      <b/>
      <sz val="10"/>
      <name val="돋움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sz val="10"/>
      <name val="새굴림"/>
      <family val="1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바탕"/>
      <family val="1"/>
      <charset val="129"/>
    </font>
    <font>
      <sz val="11"/>
      <color indexed="8"/>
      <name val="굴림체"/>
      <family val="3"/>
      <charset val="129"/>
    </font>
    <font>
      <b/>
      <sz val="12"/>
      <name val="굴림체"/>
      <family val="3"/>
      <charset val="129"/>
    </font>
    <font>
      <vertAlign val="superscript"/>
      <sz val="11"/>
      <name val="굴림체"/>
      <family val="3"/>
      <charset val="129"/>
    </font>
    <font>
      <b/>
      <sz val="12"/>
      <name val="돋움"/>
      <family val="3"/>
      <charset val="129"/>
    </font>
    <font>
      <b/>
      <sz val="9"/>
      <color indexed="10"/>
      <name val="돋움"/>
      <family val="3"/>
      <charset val="129"/>
    </font>
    <font>
      <sz val="14"/>
      <name val="돋움"/>
      <family val="3"/>
      <charset val="129"/>
    </font>
    <font>
      <b/>
      <sz val="11"/>
      <name val="굴림체"/>
      <family val="3"/>
      <charset val="129"/>
    </font>
    <font>
      <b/>
      <sz val="11"/>
      <name val="돋움"/>
      <family val="3"/>
      <charset val="129"/>
    </font>
    <font>
      <sz val="10"/>
      <color indexed="10"/>
      <name val="돋움체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10"/>
      <name val="굴림체"/>
      <family val="3"/>
      <charset val="129"/>
    </font>
    <font>
      <sz val="10"/>
      <name val="굴림"/>
      <family val="3"/>
      <charset val="129"/>
    </font>
    <font>
      <sz val="10"/>
      <color indexed="8"/>
      <name val="Arial"/>
      <family val="2"/>
    </font>
    <font>
      <b/>
      <sz val="9"/>
      <color indexed="48"/>
      <name val="굴림"/>
      <family val="3"/>
      <charset val="129"/>
    </font>
    <font>
      <sz val="11"/>
      <name val="µ¸¿ò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b/>
      <vertAlign val="superscript"/>
      <sz val="9"/>
      <name val="굴림"/>
      <family val="3"/>
      <charset val="129"/>
    </font>
    <font>
      <sz val="9"/>
      <color indexed="8"/>
      <name val="굴림"/>
      <family val="3"/>
      <charset val="129"/>
    </font>
    <font>
      <vertAlign val="superscript"/>
      <sz val="9"/>
      <color indexed="8"/>
      <name val="굴림"/>
      <family val="3"/>
      <charset val="129"/>
    </font>
    <font>
      <b/>
      <u/>
      <sz val="26"/>
      <name val="궁서체"/>
      <family val="1"/>
      <charset val="129"/>
    </font>
    <font>
      <sz val="20"/>
      <name val="궁서"/>
      <family val="1"/>
      <charset val="129"/>
    </font>
    <font>
      <sz val="20"/>
      <name val="굴림체"/>
      <family val="3"/>
      <charset val="129"/>
    </font>
    <font>
      <sz val="11"/>
      <name val="궁서"/>
      <family val="1"/>
      <charset val="129"/>
    </font>
    <font>
      <sz val="10"/>
      <name val="궁서"/>
      <family val="1"/>
      <charset val="129"/>
    </font>
    <font>
      <b/>
      <sz val="9"/>
      <name val="굴림체"/>
      <family val="3"/>
      <charset val="129"/>
    </font>
    <font>
      <b/>
      <u/>
      <sz val="26"/>
      <name val="굴림체"/>
      <family val="3"/>
      <charset val="129"/>
    </font>
    <font>
      <sz val="9"/>
      <name val="굴림체"/>
      <family val="3"/>
      <charset val="129"/>
    </font>
    <font>
      <vertAlign val="superscript"/>
      <sz val="9"/>
      <name val="돋움"/>
      <family val="3"/>
      <charset val="129"/>
    </font>
    <font>
      <b/>
      <sz val="48"/>
      <name val="굴림"/>
      <family val="3"/>
      <charset val="129"/>
    </font>
    <font>
      <sz val="26"/>
      <name val="굴림"/>
      <family val="3"/>
      <charset val="129"/>
    </font>
    <font>
      <sz val="28"/>
      <name val="굴림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b/>
      <sz val="14"/>
      <name val="굴림"/>
      <family val="3"/>
      <charset val="129"/>
    </font>
    <font>
      <sz val="14"/>
      <name val="굴림"/>
      <family val="3"/>
      <charset val="129"/>
    </font>
    <font>
      <b/>
      <u/>
      <sz val="20"/>
      <name val="굴림"/>
      <family val="3"/>
      <charset val="129"/>
    </font>
    <font>
      <sz val="20"/>
      <name val="굴림"/>
      <family val="3"/>
      <charset val="129"/>
    </font>
    <font>
      <sz val="14"/>
      <name val="굴림체"/>
      <family val="3"/>
      <charset val="129"/>
    </font>
    <font>
      <sz val="18"/>
      <name val="굴림체"/>
      <family val="3"/>
      <charset val="129"/>
    </font>
    <font>
      <b/>
      <sz val="28"/>
      <name val="굴림"/>
      <family val="3"/>
      <charset val="129"/>
    </font>
    <font>
      <sz val="16"/>
      <name val="굴림"/>
      <family val="3"/>
      <charset val="129"/>
    </font>
    <font>
      <b/>
      <sz val="16"/>
      <name val="휴먼둥근헤드라인"/>
      <family val="1"/>
      <charset val="129"/>
    </font>
    <font>
      <sz val="8"/>
      <name val="굴림"/>
      <family val="3"/>
      <charset val="129"/>
    </font>
    <font>
      <b/>
      <sz val="10"/>
      <color indexed="63"/>
      <name val="굴림"/>
      <family val="3"/>
      <charset val="129"/>
    </font>
    <font>
      <b/>
      <sz val="12"/>
      <color indexed="63"/>
      <name val="굴림"/>
      <family val="3"/>
      <charset val="129"/>
    </font>
    <font>
      <vertAlign val="superscript"/>
      <sz val="8"/>
      <name val="굴림"/>
      <family val="3"/>
      <charset val="129"/>
    </font>
    <font>
      <b/>
      <sz val="8"/>
      <name val="굴림"/>
      <family val="3"/>
      <charset val="129"/>
    </font>
    <font>
      <sz val="7"/>
      <name val="굴림"/>
      <family val="3"/>
      <charset val="129"/>
    </font>
    <font>
      <u/>
      <sz val="10"/>
      <name val="굴림"/>
      <family val="3"/>
      <charset val="129"/>
    </font>
    <font>
      <b/>
      <sz val="13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vertAlign val="superscript"/>
      <sz val="11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20"/>
      <name val="굴림"/>
      <family val="3"/>
      <charset val="129"/>
    </font>
    <font>
      <b/>
      <sz val="7"/>
      <name val="굴림"/>
      <family val="3"/>
      <charset val="129"/>
    </font>
    <font>
      <sz val="9"/>
      <color indexed="10"/>
      <name val="굴림"/>
      <family val="3"/>
      <charset val="129"/>
    </font>
    <font>
      <sz val="8"/>
      <color indexed="10"/>
      <name val="굴림"/>
      <family val="3"/>
      <charset val="129"/>
    </font>
    <font>
      <b/>
      <sz val="24"/>
      <name val="굴림"/>
      <family val="3"/>
      <charset val="129"/>
    </font>
    <font>
      <sz val="8"/>
      <name val="굴림체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13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1">
    <xf numFmtId="0" fontId="0" fillId="0" borderId="0"/>
    <xf numFmtId="2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4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1" fillId="0" borderId="0"/>
    <xf numFmtId="0" fontId="66" fillId="0" borderId="0"/>
    <xf numFmtId="0" fontId="1" fillId="0" borderId="0"/>
    <xf numFmtId="0" fontId="50" fillId="0" borderId="0"/>
    <xf numFmtId="0" fontId="2" fillId="0" borderId="0"/>
    <xf numFmtId="0" fontId="1" fillId="0" borderId="0"/>
    <xf numFmtId="0" fontId="67" fillId="0" borderId="0"/>
    <xf numFmtId="0" fontId="8" fillId="0" borderId="0"/>
    <xf numFmtId="0" fontId="24" fillId="0" borderId="1" applyNumberFormat="0" applyFont="0" applyFill="0" applyAlignment="0" applyProtection="0"/>
    <xf numFmtId="195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22" fontId="1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10" fontId="12" fillId="3" borderId="4" applyNumberFormat="0" applyBorder="0" applyAlignment="0" applyProtection="0"/>
    <xf numFmtId="183" fontId="1" fillId="0" borderId="0"/>
    <xf numFmtId="0" fontId="6" fillId="0" borderId="0"/>
    <xf numFmtId="10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1980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4" xfId="12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80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8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0" fontId="4" fillId="0" borderId="0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center"/>
    </xf>
    <xf numFmtId="180" fontId="4" fillId="0" borderId="0" xfId="0" applyNumberFormat="1" applyFont="1" applyBorder="1" applyAlignment="1">
      <alignment horizontal="centerContinuous" vertical="center"/>
    </xf>
    <xf numFmtId="0" fontId="4" fillId="0" borderId="8" xfId="0" applyFont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center"/>
    </xf>
    <xf numFmtId="2" fontId="4" fillId="0" borderId="0" xfId="0" applyNumberFormat="1" applyFont="1" applyBorder="1" applyAlignment="1">
      <alignment vertical="center"/>
    </xf>
    <xf numFmtId="0" fontId="4" fillId="0" borderId="0" xfId="0" quotePrefix="1" applyFont="1" applyBorder="1" applyAlignment="1">
      <alignment vertical="center"/>
    </xf>
    <xf numFmtId="0" fontId="4" fillId="0" borderId="0" xfId="0" applyFont="1" applyAlignment="1">
      <alignment vertical="center"/>
    </xf>
    <xf numFmtId="2" fontId="4" fillId="0" borderId="9" xfId="0" applyNumberFormat="1" applyFont="1" applyBorder="1" applyAlignment="1">
      <alignment horizontal="center" vertical="center"/>
    </xf>
    <xf numFmtId="4" fontId="4" fillId="0" borderId="0" xfId="0" quotePrefix="1" applyNumberFormat="1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4" fontId="4" fillId="0" borderId="0" xfId="12" applyNumberFormat="1" applyFont="1" applyBorder="1" applyAlignment="1">
      <alignment vertical="center"/>
    </xf>
    <xf numFmtId="190" fontId="4" fillId="0" borderId="0" xfId="12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180" fontId="4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13" xfId="0" quotePrefix="1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4" xfId="0" quotePrefix="1" applyNumberFormat="1" applyFont="1" applyBorder="1" applyAlignment="1">
      <alignment horizontal="center" vertical="center"/>
    </xf>
    <xf numFmtId="180" fontId="4" fillId="0" borderId="14" xfId="0" quotePrefix="1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/>
    </xf>
    <xf numFmtId="2" fontId="4" fillId="0" borderId="13" xfId="0" applyNumberFormat="1" applyFont="1" applyBorder="1" applyAlignment="1">
      <alignment horizontal="center" vertical="center"/>
    </xf>
    <xf numFmtId="191" fontId="4" fillId="0" borderId="14" xfId="0" applyNumberFormat="1" applyFont="1" applyBorder="1" applyAlignment="1">
      <alignment vertical="center"/>
    </xf>
    <xf numFmtId="180" fontId="4" fillId="0" borderId="14" xfId="12" applyNumberFormat="1" applyFont="1" applyBorder="1" applyAlignment="1">
      <alignment vertical="center"/>
    </xf>
    <xf numFmtId="192" fontId="4" fillId="0" borderId="14" xfId="0" applyNumberFormat="1" applyFont="1" applyBorder="1" applyAlignment="1">
      <alignment vertical="center"/>
    </xf>
    <xf numFmtId="1" fontId="4" fillId="0" borderId="15" xfId="0" applyNumberFormat="1" applyFont="1" applyBorder="1" applyAlignment="1">
      <alignment horizontal="center" vertical="center"/>
    </xf>
    <xf numFmtId="191" fontId="4" fillId="0" borderId="14" xfId="0" quotePrefix="1" applyNumberFormat="1" applyFont="1" applyBorder="1" applyAlignment="1">
      <alignment vertical="center"/>
    </xf>
    <xf numFmtId="180" fontId="4" fillId="0" borderId="14" xfId="12" quotePrefix="1" applyNumberFormat="1" applyFont="1" applyBorder="1" applyAlignment="1">
      <alignment vertical="center"/>
    </xf>
    <xf numFmtId="192" fontId="4" fillId="0" borderId="14" xfId="0" quotePrefix="1" applyNumberFormat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NumberFormat="1" applyFont="1" applyBorder="1" applyAlignment="1">
      <alignment vertical="center"/>
    </xf>
    <xf numFmtId="180" fontId="4" fillId="0" borderId="14" xfId="0" applyNumberFormat="1" applyFont="1" applyBorder="1" applyAlignment="1">
      <alignment horizontal="centerContinuous" vertical="center"/>
    </xf>
    <xf numFmtId="2" fontId="4" fillId="0" borderId="16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vertical="center"/>
    </xf>
    <xf numFmtId="180" fontId="4" fillId="0" borderId="16" xfId="0" applyNumberFormat="1" applyFont="1" applyBorder="1" applyAlignment="1">
      <alignment horizontal="centerContinuous" vertical="center"/>
    </xf>
    <xf numFmtId="192" fontId="4" fillId="0" borderId="16" xfId="0" applyNumberFormat="1" applyFont="1" applyBorder="1" applyAlignment="1">
      <alignment vertical="center"/>
    </xf>
    <xf numFmtId="1" fontId="4" fillId="0" borderId="17" xfId="0" applyNumberFormat="1" applyFont="1" applyBorder="1" applyAlignment="1">
      <alignment horizontal="center" vertical="center"/>
    </xf>
    <xf numFmtId="2" fontId="4" fillId="0" borderId="16" xfId="0" quotePrefix="1" applyNumberFormat="1" applyFont="1" applyBorder="1" applyAlignment="1">
      <alignment horizontal="center" vertical="center"/>
    </xf>
    <xf numFmtId="0" fontId="4" fillId="0" borderId="16" xfId="0" quotePrefix="1" applyNumberFormat="1" applyFont="1" applyBorder="1" applyAlignment="1">
      <alignment vertical="center"/>
    </xf>
    <xf numFmtId="180" fontId="4" fillId="0" borderId="16" xfId="0" applyNumberFormat="1" applyFont="1" applyBorder="1" applyAlignment="1">
      <alignment vertical="center"/>
    </xf>
    <xf numFmtId="2" fontId="4" fillId="0" borderId="18" xfId="0" applyNumberFormat="1" applyFont="1" applyBorder="1" applyAlignment="1">
      <alignment horizontal="center" vertical="center"/>
    </xf>
    <xf numFmtId="2" fontId="4" fillId="0" borderId="19" xfId="0" quotePrefix="1" applyNumberFormat="1" applyFont="1" applyBorder="1" applyAlignment="1">
      <alignment horizontal="center" vertical="center"/>
    </xf>
    <xf numFmtId="0" fontId="4" fillId="0" borderId="19" xfId="0" quotePrefix="1" applyNumberFormat="1" applyFont="1" applyBorder="1" applyAlignment="1">
      <alignment vertical="center"/>
    </xf>
    <xf numFmtId="2" fontId="4" fillId="0" borderId="19" xfId="0" applyNumberFormat="1" applyFont="1" applyBorder="1" applyAlignment="1">
      <alignment horizontal="center" vertical="center"/>
    </xf>
    <xf numFmtId="180" fontId="4" fillId="0" borderId="19" xfId="0" applyNumberFormat="1" applyFont="1" applyBorder="1" applyAlignment="1">
      <alignment vertical="center"/>
    </xf>
    <xf numFmtId="1" fontId="4" fillId="0" borderId="20" xfId="0" applyNumberFormat="1" applyFont="1" applyBorder="1" applyAlignment="1">
      <alignment horizontal="center" vertical="center"/>
    </xf>
    <xf numFmtId="2" fontId="4" fillId="0" borderId="0" xfId="0" quotePrefix="1" applyNumberFormat="1" applyFont="1" applyBorder="1" applyAlignment="1">
      <alignment horizontal="center" vertical="center"/>
    </xf>
    <xf numFmtId="0" fontId="4" fillId="0" borderId="0" xfId="0" quotePrefix="1" applyNumberFormat="1" applyFont="1" applyBorder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2" fontId="4" fillId="0" borderId="0" xfId="0" quotePrefix="1" applyNumberFormat="1" applyFont="1" applyBorder="1" applyAlignment="1">
      <alignment horizontal="left" vertical="center"/>
    </xf>
    <xf numFmtId="192" fontId="4" fillId="0" borderId="0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93" fontId="4" fillId="0" borderId="0" xfId="12" applyNumberFormat="1" applyFont="1" applyBorder="1" applyAlignment="1">
      <alignment vertical="center"/>
    </xf>
    <xf numFmtId="0" fontId="4" fillId="0" borderId="11" xfId="0" quotePrefix="1" applyFont="1" applyBorder="1" applyAlignment="1">
      <alignment horizontal="left" vertical="center"/>
    </xf>
    <xf numFmtId="4" fontId="4" fillId="0" borderId="11" xfId="12" applyNumberFormat="1" applyFont="1" applyBorder="1" applyAlignment="1">
      <alignment vertical="center"/>
    </xf>
    <xf numFmtId="190" fontId="4" fillId="0" borderId="11" xfId="12" applyNumberFormat="1" applyFont="1" applyBorder="1" applyAlignment="1">
      <alignment vertical="center"/>
    </xf>
    <xf numFmtId="2" fontId="22" fillId="3" borderId="5" xfId="0" quotePrefix="1" applyNumberFormat="1" applyFont="1" applyFill="1" applyBorder="1" applyAlignment="1">
      <alignment horizontal="centerContinuous" vertical="center"/>
    </xf>
    <xf numFmtId="2" fontId="22" fillId="3" borderId="6" xfId="0" applyNumberFormat="1" applyFont="1" applyFill="1" applyBorder="1" applyAlignment="1">
      <alignment horizontal="left" vertical="center"/>
    </xf>
    <xf numFmtId="2" fontId="22" fillId="3" borderId="6" xfId="0" applyNumberFormat="1" applyFont="1" applyFill="1" applyBorder="1" applyAlignment="1">
      <alignment vertical="center"/>
    </xf>
    <xf numFmtId="2" fontId="22" fillId="3" borderId="6" xfId="0" applyNumberFormat="1" applyFont="1" applyFill="1" applyBorder="1" applyAlignment="1">
      <alignment horizontal="center" vertical="center"/>
    </xf>
    <xf numFmtId="180" fontId="22" fillId="3" borderId="6" xfId="0" applyNumberFormat="1" applyFont="1" applyFill="1" applyBorder="1" applyAlignment="1">
      <alignment vertical="center"/>
    </xf>
    <xf numFmtId="2" fontId="22" fillId="3" borderId="7" xfId="0" applyNumberFormat="1" applyFont="1" applyFill="1" applyBorder="1" applyAlignment="1">
      <alignment horizontal="center" vertical="center"/>
    </xf>
    <xf numFmtId="189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2" fontId="22" fillId="0" borderId="0" xfId="0" applyNumberFormat="1" applyFont="1" applyBorder="1" applyAlignment="1">
      <alignment vertical="center"/>
    </xf>
    <xf numFmtId="2" fontId="22" fillId="3" borderId="6" xfId="0" quotePrefix="1" applyNumberFormat="1" applyFont="1" applyFill="1" applyBorder="1" applyAlignment="1">
      <alignment horizontal="left" vertical="center"/>
    </xf>
    <xf numFmtId="193" fontId="23" fillId="0" borderId="0" xfId="12" quotePrefix="1" applyNumberFormat="1" applyFont="1" applyBorder="1" applyAlignment="1">
      <alignment vertical="center"/>
    </xf>
    <xf numFmtId="192" fontId="22" fillId="0" borderId="14" xfId="0" applyNumberFormat="1" applyFont="1" applyBorder="1" applyAlignment="1">
      <alignment vertical="center"/>
    </xf>
    <xf numFmtId="192" fontId="22" fillId="0" borderId="14" xfId="0" quotePrefix="1" applyNumberFormat="1" applyFont="1" applyBorder="1" applyAlignment="1">
      <alignment vertical="center"/>
    </xf>
    <xf numFmtId="192" fontId="22" fillId="0" borderId="19" xfId="0" applyNumberFormat="1" applyFont="1" applyBorder="1" applyAlignment="1">
      <alignment vertical="center"/>
    </xf>
    <xf numFmtId="0" fontId="28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2" xfId="0" applyFont="1" applyBorder="1" applyAlignment="1">
      <alignment vertical="center"/>
    </xf>
    <xf numFmtId="196" fontId="30" fillId="0" borderId="22" xfId="0" applyNumberFormat="1" applyFont="1" applyBorder="1" applyAlignment="1">
      <alignment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 applyAlignment="1">
      <alignment vertical="center"/>
    </xf>
    <xf numFmtId="196" fontId="30" fillId="0" borderId="23" xfId="0" applyNumberFormat="1" applyFont="1" applyBorder="1" applyAlignment="1">
      <alignment vertical="center"/>
    </xf>
    <xf numFmtId="0" fontId="30" fillId="0" borderId="24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 wrapText="1"/>
    </xf>
    <xf numFmtId="0" fontId="30" fillId="0" borderId="25" xfId="0" applyFont="1" applyBorder="1" applyAlignment="1">
      <alignment vertical="center"/>
    </xf>
    <xf numFmtId="0" fontId="30" fillId="0" borderId="25" xfId="0" applyFont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0" fillId="0" borderId="26" xfId="0" applyFont="1" applyBorder="1" applyAlignment="1">
      <alignment vertical="center"/>
    </xf>
    <xf numFmtId="0" fontId="28" fillId="0" borderId="0" xfId="0" applyFont="1" applyAlignment="1">
      <alignment horizontal="center"/>
    </xf>
    <xf numFmtId="0" fontId="31" fillId="0" borderId="24" xfId="0" applyFont="1" applyFill="1" applyBorder="1" applyAlignment="1">
      <alignment horizontal="center" vertical="center"/>
    </xf>
    <xf numFmtId="177" fontId="30" fillId="0" borderId="23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196" fontId="30" fillId="0" borderId="27" xfId="0" applyNumberFormat="1" applyFont="1" applyBorder="1" applyAlignment="1">
      <alignment vertical="center"/>
    </xf>
    <xf numFmtId="196" fontId="30" fillId="0" borderId="28" xfId="0" applyNumberFormat="1" applyFont="1" applyBorder="1" applyAlignment="1">
      <alignment vertical="center"/>
    </xf>
    <xf numFmtId="0" fontId="30" fillId="0" borderId="29" xfId="0" applyFont="1" applyBorder="1" applyAlignment="1">
      <alignment vertical="center"/>
    </xf>
    <xf numFmtId="0" fontId="29" fillId="0" borderId="30" xfId="0" applyFont="1" applyBorder="1" applyAlignment="1">
      <alignment horizontal="center" vertical="center"/>
    </xf>
    <xf numFmtId="0" fontId="29" fillId="0" borderId="31" xfId="0" applyFont="1" applyBorder="1" applyAlignment="1">
      <alignment vertical="center"/>
    </xf>
    <xf numFmtId="0" fontId="29" fillId="0" borderId="31" xfId="0" applyFont="1" applyBorder="1" applyAlignment="1">
      <alignment horizontal="center" vertical="center"/>
    </xf>
    <xf numFmtId="196" fontId="29" fillId="0" borderId="23" xfId="0" applyNumberFormat="1" applyFont="1" applyBorder="1" applyAlignment="1">
      <alignment vertical="center"/>
    </xf>
    <xf numFmtId="196" fontId="29" fillId="0" borderId="31" xfId="0" applyNumberFormat="1" applyFont="1" applyBorder="1" applyAlignment="1">
      <alignment vertical="center"/>
    </xf>
    <xf numFmtId="196" fontId="29" fillId="0" borderId="2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176" fontId="30" fillId="0" borderId="22" xfId="0" applyNumberFormat="1" applyFont="1" applyBorder="1" applyAlignment="1">
      <alignment vertical="center"/>
    </xf>
    <xf numFmtId="176" fontId="30" fillId="0" borderId="23" xfId="0" applyNumberFormat="1" applyFont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24" xfId="0" applyFont="1" applyFill="1" applyBorder="1" applyAlignment="1">
      <alignment horizontal="left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196" fontId="29" fillId="0" borderId="23" xfId="0" applyNumberFormat="1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3" xfId="0" applyFont="1" applyBorder="1" applyAlignment="1">
      <alignment vertical="center"/>
    </xf>
    <xf numFmtId="196" fontId="29" fillId="0" borderId="28" xfId="0" applyNumberFormat="1" applyFont="1" applyBorder="1" applyAlignment="1">
      <alignment vertical="center"/>
    </xf>
    <xf numFmtId="196" fontId="28" fillId="0" borderId="0" xfId="0" applyNumberFormat="1" applyFont="1" applyAlignment="1">
      <alignment vertical="center"/>
    </xf>
    <xf numFmtId="177" fontId="30" fillId="0" borderId="23" xfId="0" applyNumberFormat="1" applyFont="1" applyFill="1" applyBorder="1" applyAlignment="1">
      <alignment horizontal="center" vertical="center"/>
    </xf>
    <xf numFmtId="196" fontId="29" fillId="0" borderId="28" xfId="0" applyNumberFormat="1" applyFont="1" applyFill="1" applyBorder="1" applyAlignment="1">
      <alignment horizontal="center" vertical="center"/>
    </xf>
    <xf numFmtId="2" fontId="30" fillId="0" borderId="23" xfId="0" applyNumberFormat="1" applyFont="1" applyFill="1" applyBorder="1" applyAlignment="1">
      <alignment horizontal="center" vertical="center"/>
    </xf>
    <xf numFmtId="41" fontId="30" fillId="0" borderId="0" xfId="12" applyFont="1" applyAlignment="1">
      <alignment vertical="center"/>
    </xf>
    <xf numFmtId="0" fontId="30" fillId="0" borderId="0" xfId="0" applyFont="1" applyAlignment="1">
      <alignment horizontal="distributed" vertical="center"/>
    </xf>
    <xf numFmtId="41" fontId="30" fillId="0" borderId="0" xfId="12" applyFont="1" applyAlignment="1">
      <alignment horizontal="distributed" vertical="center"/>
    </xf>
    <xf numFmtId="0" fontId="30" fillId="0" borderId="0" xfId="0" applyFont="1" applyAlignment="1">
      <alignment vertical="center"/>
    </xf>
    <xf numFmtId="177" fontId="30" fillId="0" borderId="22" xfId="0" applyNumberFormat="1" applyFont="1" applyBorder="1" applyAlignment="1">
      <alignment vertical="center"/>
    </xf>
    <xf numFmtId="176" fontId="30" fillId="0" borderId="23" xfId="0" applyNumberFormat="1" applyFont="1" applyFill="1" applyBorder="1" applyAlignment="1">
      <alignment vertical="center"/>
    </xf>
    <xf numFmtId="177" fontId="30" fillId="0" borderId="23" xfId="0" applyNumberFormat="1" applyFont="1" applyFill="1" applyBorder="1" applyAlignment="1">
      <alignment vertical="center"/>
    </xf>
    <xf numFmtId="0" fontId="28" fillId="4" borderId="30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horizontal="center" vertical="center"/>
    </xf>
    <xf numFmtId="0" fontId="28" fillId="0" borderId="22" xfId="0" applyFont="1" applyFill="1" applyBorder="1" applyAlignment="1">
      <alignment horizontal="center" vertical="center"/>
    </xf>
    <xf numFmtId="0" fontId="37" fillId="0" borderId="24" xfId="0" applyFont="1" applyFill="1" applyBorder="1" applyAlignment="1">
      <alignment horizontal="left" vertical="center"/>
    </xf>
    <xf numFmtId="0" fontId="37" fillId="0" borderId="23" xfId="0" applyFont="1" applyFill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196" fontId="28" fillId="0" borderId="24" xfId="0" applyNumberFormat="1" applyFont="1" applyBorder="1" applyAlignment="1">
      <alignment vertical="center"/>
    </xf>
    <xf numFmtId="196" fontId="28" fillId="0" borderId="23" xfId="0" applyNumberFormat="1" applyFont="1" applyBorder="1" applyAlignment="1">
      <alignment vertical="center"/>
    </xf>
    <xf numFmtId="196" fontId="28" fillId="0" borderId="33" xfId="0" applyNumberFormat="1" applyFont="1" applyBorder="1" applyAlignment="1">
      <alignment vertical="center"/>
    </xf>
    <xf numFmtId="199" fontId="28" fillId="0" borderId="33" xfId="0" applyNumberFormat="1" applyFont="1" applyBorder="1" applyAlignment="1">
      <alignment horizontal="right" vertical="center"/>
    </xf>
    <xf numFmtId="0" fontId="28" fillId="0" borderId="3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177" fontId="28" fillId="0" borderId="33" xfId="0" applyNumberFormat="1" applyFont="1" applyFill="1" applyBorder="1" applyAlignment="1">
      <alignment horizontal="right" vertical="center"/>
    </xf>
    <xf numFmtId="0" fontId="28" fillId="0" borderId="23" xfId="0" applyFont="1" applyBorder="1" applyAlignment="1">
      <alignment horizontal="center" vertical="center"/>
    </xf>
    <xf numFmtId="197" fontId="28" fillId="0" borderId="33" xfId="0" applyNumberFormat="1" applyFont="1" applyBorder="1" applyAlignment="1">
      <alignment horizontal="right" vertical="center"/>
    </xf>
    <xf numFmtId="0" fontId="28" fillId="0" borderId="24" xfId="0" applyFont="1" applyFill="1" applyBorder="1" applyAlignment="1">
      <alignment horizontal="center" vertical="center"/>
    </xf>
    <xf numFmtId="177" fontId="28" fillId="0" borderId="33" xfId="0" applyNumberFormat="1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2" fontId="28" fillId="0" borderId="33" xfId="0" applyNumberFormat="1" applyFont="1" applyFill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198" fontId="28" fillId="0" borderId="24" xfId="0" applyNumberFormat="1" applyFont="1" applyBorder="1" applyAlignment="1">
      <alignment vertical="center"/>
    </xf>
    <xf numFmtId="198" fontId="28" fillId="0" borderId="23" xfId="0" applyNumberFormat="1" applyFont="1" applyBorder="1" applyAlignment="1">
      <alignment vertical="center"/>
    </xf>
    <xf numFmtId="197" fontId="28" fillId="0" borderId="33" xfId="0" applyNumberFormat="1" applyFont="1" applyBorder="1" applyAlignment="1">
      <alignment vertical="center"/>
    </xf>
    <xf numFmtId="0" fontId="28" fillId="0" borderId="21" xfId="0" applyFont="1" applyBorder="1" applyAlignment="1">
      <alignment horizontal="left" vertical="center"/>
    </xf>
    <xf numFmtId="198" fontId="28" fillId="0" borderId="33" xfId="0" applyNumberFormat="1" applyFont="1" applyBorder="1" applyAlignment="1">
      <alignment vertical="center"/>
    </xf>
    <xf numFmtId="0" fontId="28" fillId="0" borderId="23" xfId="0" applyFont="1" applyBorder="1" applyAlignment="1">
      <alignment horizontal="center" vertical="center" wrapText="1"/>
    </xf>
    <xf numFmtId="197" fontId="28" fillId="0" borderId="24" xfId="0" applyNumberFormat="1" applyFont="1" applyBorder="1" applyAlignment="1">
      <alignment vertical="center"/>
    </xf>
    <xf numFmtId="197" fontId="28" fillId="0" borderId="23" xfId="0" applyNumberFormat="1" applyFont="1" applyBorder="1" applyAlignment="1">
      <alignment vertical="center"/>
    </xf>
    <xf numFmtId="199" fontId="28" fillId="0" borderId="23" xfId="0" applyNumberFormat="1" applyFont="1" applyBorder="1" applyAlignment="1">
      <alignment vertical="center"/>
    </xf>
    <xf numFmtId="199" fontId="28" fillId="0" borderId="33" xfId="0" applyNumberFormat="1" applyFont="1" applyBorder="1" applyAlignment="1">
      <alignment vertical="center"/>
    </xf>
    <xf numFmtId="0" fontId="28" fillId="0" borderId="30" xfId="0" applyFont="1" applyBorder="1" applyAlignment="1">
      <alignment horizontal="left" vertical="center"/>
    </xf>
    <xf numFmtId="0" fontId="28" fillId="0" borderId="31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8" xfId="0" applyFont="1" applyBorder="1" applyAlignment="1">
      <alignment vertical="center"/>
    </xf>
    <xf numFmtId="0" fontId="28" fillId="0" borderId="8" xfId="0" applyFont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196" fontId="28" fillId="0" borderId="8" xfId="0" applyNumberFormat="1" applyFont="1" applyBorder="1" applyAlignment="1">
      <alignment vertical="center"/>
    </xf>
    <xf numFmtId="0" fontId="30" fillId="0" borderId="23" xfId="0" applyFont="1" applyFill="1" applyBorder="1" applyAlignment="1">
      <alignment horizontal="right" vertical="center"/>
    </xf>
    <xf numFmtId="199" fontId="28" fillId="0" borderId="23" xfId="0" applyNumberFormat="1" applyFont="1" applyFill="1" applyBorder="1" applyAlignment="1">
      <alignment vertical="center"/>
    </xf>
    <xf numFmtId="0" fontId="31" fillId="0" borderId="23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/>
    </xf>
    <xf numFmtId="2" fontId="4" fillId="0" borderId="11" xfId="0" applyNumberFormat="1" applyFont="1" applyBorder="1" applyAlignment="1">
      <alignment horizontal="center" vertical="center"/>
    </xf>
    <xf numFmtId="199" fontId="28" fillId="0" borderId="24" xfId="0" applyNumberFormat="1" applyFont="1" applyFill="1" applyBorder="1" applyAlignment="1">
      <alignment vertical="center"/>
    </xf>
    <xf numFmtId="199" fontId="28" fillId="0" borderId="26" xfId="0" applyNumberFormat="1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28" fillId="0" borderId="0" xfId="0" applyFont="1" applyFill="1"/>
    <xf numFmtId="0" fontId="28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196" fontId="28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196" fontId="28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9" fontId="32" fillId="0" borderId="0" xfId="0" applyNumberFormat="1" applyFont="1" applyFill="1" applyAlignment="1">
      <alignment horizontal="center" vertical="center"/>
    </xf>
    <xf numFmtId="9" fontId="28" fillId="0" borderId="0" xfId="0" applyNumberFormat="1" applyFont="1" applyFill="1" applyAlignment="1">
      <alignment horizontal="center" vertical="center"/>
    </xf>
    <xf numFmtId="0" fontId="28" fillId="0" borderId="0" xfId="34" applyFont="1"/>
    <xf numFmtId="0" fontId="29" fillId="0" borderId="0" xfId="34" applyFont="1" applyAlignment="1">
      <alignment vertical="center"/>
    </xf>
    <xf numFmtId="0" fontId="29" fillId="0" borderId="0" xfId="34" applyFont="1" applyAlignment="1">
      <alignment horizontal="center" vertical="center"/>
    </xf>
    <xf numFmtId="0" fontId="33" fillId="0" borderId="0" xfId="34" applyFont="1" applyAlignment="1">
      <alignment horizontal="right" vertical="center"/>
    </xf>
    <xf numFmtId="0" fontId="28" fillId="0" borderId="0" xfId="34" applyFont="1" applyAlignment="1">
      <alignment vertical="center"/>
    </xf>
    <xf numFmtId="0" fontId="28" fillId="0" borderId="0" xfId="34" applyFont="1" applyAlignment="1">
      <alignment horizontal="center" vertical="center"/>
    </xf>
    <xf numFmtId="0" fontId="28" fillId="0" borderId="34" xfId="34" applyFont="1" applyFill="1" applyBorder="1" applyAlignment="1">
      <alignment horizontal="left" vertical="center"/>
    </xf>
    <xf numFmtId="0" fontId="30" fillId="0" borderId="35" xfId="34" applyFont="1" applyFill="1" applyBorder="1" applyAlignment="1">
      <alignment horizontal="center" vertical="center"/>
    </xf>
    <xf numFmtId="0" fontId="30" fillId="0" borderId="36" xfId="34" applyFont="1" applyFill="1" applyBorder="1" applyAlignment="1">
      <alignment horizontal="center" vertical="center"/>
    </xf>
    <xf numFmtId="0" fontId="28" fillId="0" borderId="0" xfId="34" applyFont="1" applyFill="1" applyAlignment="1">
      <alignment horizontal="center" vertical="center"/>
    </xf>
    <xf numFmtId="0" fontId="30" fillId="0" borderId="24" xfId="34" applyFont="1" applyFill="1" applyBorder="1" applyAlignment="1">
      <alignment horizontal="left" vertical="center"/>
    </xf>
    <xf numFmtId="0" fontId="30" fillId="0" borderId="23" xfId="34" applyFont="1" applyFill="1" applyBorder="1" applyAlignment="1">
      <alignment horizontal="center" vertical="center"/>
    </xf>
    <xf numFmtId="2" fontId="30" fillId="0" borderId="23" xfId="34" applyNumberFormat="1" applyFont="1" applyFill="1" applyBorder="1" applyAlignment="1">
      <alignment horizontal="center" vertical="center"/>
    </xf>
    <xf numFmtId="196" fontId="30" fillId="0" borderId="23" xfId="34" applyNumberFormat="1" applyFont="1" applyBorder="1" applyAlignment="1">
      <alignment vertical="center"/>
    </xf>
    <xf numFmtId="0" fontId="30" fillId="0" borderId="28" xfId="34" applyFont="1" applyFill="1" applyBorder="1" applyAlignment="1">
      <alignment horizontal="center" vertical="center"/>
    </xf>
    <xf numFmtId="0" fontId="30" fillId="0" borderId="0" xfId="34" applyFont="1" applyFill="1" applyAlignment="1">
      <alignment horizontal="center" vertical="center"/>
    </xf>
    <xf numFmtId="177" fontId="30" fillId="0" borderId="23" xfId="34" applyNumberFormat="1" applyFont="1" applyFill="1" applyBorder="1" applyAlignment="1">
      <alignment horizontal="center" vertical="center"/>
    </xf>
    <xf numFmtId="196" fontId="30" fillId="0" borderId="28" xfId="34" applyNumberFormat="1" applyFont="1" applyBorder="1" applyAlignment="1">
      <alignment vertical="center"/>
    </xf>
    <xf numFmtId="0" fontId="29" fillId="0" borderId="24" xfId="34" applyFont="1" applyBorder="1" applyAlignment="1">
      <alignment horizontal="center" vertical="center"/>
    </xf>
    <xf numFmtId="0" fontId="29" fillId="0" borderId="23" xfId="34" applyFont="1" applyFill="1" applyBorder="1" applyAlignment="1">
      <alignment horizontal="center" vertical="center"/>
    </xf>
    <xf numFmtId="196" fontId="29" fillId="0" borderId="23" xfId="34" applyNumberFormat="1" applyFont="1" applyFill="1" applyBorder="1" applyAlignment="1">
      <alignment horizontal="center" vertical="center"/>
    </xf>
    <xf numFmtId="0" fontId="29" fillId="0" borderId="28" xfId="34" applyFont="1" applyFill="1" applyBorder="1" applyAlignment="1">
      <alignment horizontal="center" vertical="center"/>
    </xf>
    <xf numFmtId="0" fontId="29" fillId="0" borderId="0" xfId="34" applyFont="1" applyFill="1" applyAlignment="1">
      <alignment horizontal="center" vertical="center"/>
    </xf>
    <xf numFmtId="0" fontId="28" fillId="0" borderId="24" xfId="34" applyFont="1" applyFill="1" applyBorder="1" applyAlignment="1">
      <alignment horizontal="left" vertical="center"/>
    </xf>
    <xf numFmtId="0" fontId="30" fillId="0" borderId="24" xfId="34" applyFont="1" applyBorder="1" applyAlignment="1">
      <alignment horizontal="center" vertical="center"/>
    </xf>
    <xf numFmtId="0" fontId="30" fillId="0" borderId="23" xfId="34" applyFont="1" applyBorder="1" applyAlignment="1">
      <alignment horizontal="center" vertical="center"/>
    </xf>
    <xf numFmtId="176" fontId="30" fillId="0" borderId="23" xfId="34" applyNumberFormat="1" applyFont="1" applyBorder="1" applyAlignment="1">
      <alignment vertical="center"/>
    </xf>
    <xf numFmtId="0" fontId="30" fillId="0" borderId="21" xfId="34" applyFont="1" applyBorder="1" applyAlignment="1">
      <alignment horizontal="center" vertical="center"/>
    </xf>
    <xf numFmtId="0" fontId="30" fillId="0" borderId="23" xfId="34" applyFont="1" applyBorder="1" applyAlignment="1">
      <alignment horizontal="center" vertical="center" wrapText="1"/>
    </xf>
    <xf numFmtId="0" fontId="32" fillId="0" borderId="0" xfId="34" applyFont="1" applyAlignment="1">
      <alignment vertical="center"/>
    </xf>
    <xf numFmtId="196" fontId="28" fillId="0" borderId="0" xfId="34" applyNumberFormat="1" applyFont="1" applyAlignment="1">
      <alignment vertical="center"/>
    </xf>
    <xf numFmtId="0" fontId="30" fillId="0" borderId="24" xfId="34" applyFont="1" applyFill="1" applyBorder="1" applyAlignment="1">
      <alignment horizontal="center" vertical="center"/>
    </xf>
    <xf numFmtId="177" fontId="30" fillId="0" borderId="23" xfId="34" applyNumberFormat="1" applyFont="1" applyBorder="1" applyAlignment="1">
      <alignment vertical="center"/>
    </xf>
    <xf numFmtId="0" fontId="31" fillId="0" borderId="24" xfId="34" applyFont="1" applyFill="1" applyBorder="1" applyAlignment="1">
      <alignment horizontal="center" vertical="center"/>
    </xf>
    <xf numFmtId="0" fontId="29" fillId="0" borderId="23" xfId="34" applyFont="1" applyBorder="1" applyAlignment="1">
      <alignment horizontal="center" vertical="center"/>
    </xf>
    <xf numFmtId="0" fontId="29" fillId="0" borderId="23" xfId="34" applyFont="1" applyBorder="1" applyAlignment="1">
      <alignment vertical="center"/>
    </xf>
    <xf numFmtId="196" fontId="29" fillId="0" borderId="23" xfId="34" applyNumberFormat="1" applyFont="1" applyBorder="1" applyAlignment="1">
      <alignment vertical="center"/>
    </xf>
    <xf numFmtId="196" fontId="29" fillId="0" borderId="28" xfId="34" applyNumberFormat="1" applyFont="1" applyBorder="1" applyAlignment="1">
      <alignment vertical="center"/>
    </xf>
    <xf numFmtId="0" fontId="33" fillId="0" borderId="0" xfId="34" applyFont="1" applyAlignment="1">
      <alignment vertical="center"/>
    </xf>
    <xf numFmtId="0" fontId="30" fillId="0" borderId="26" xfId="34" applyFont="1" applyBorder="1" applyAlignment="1">
      <alignment vertical="center"/>
    </xf>
    <xf numFmtId="0" fontId="30" fillId="0" borderId="25" xfId="34" applyFont="1" applyBorder="1" applyAlignment="1">
      <alignment vertical="center"/>
    </xf>
    <xf numFmtId="0" fontId="30" fillId="0" borderId="25" xfId="34" applyFont="1" applyBorder="1" applyAlignment="1">
      <alignment horizontal="center" vertical="center"/>
    </xf>
    <xf numFmtId="0" fontId="30" fillId="0" borderId="29" xfId="34" applyFont="1" applyBorder="1" applyAlignment="1">
      <alignment vertical="center"/>
    </xf>
    <xf numFmtId="0" fontId="29" fillId="0" borderId="30" xfId="34" applyFont="1" applyBorder="1" applyAlignment="1">
      <alignment horizontal="center" vertical="center"/>
    </xf>
    <xf numFmtId="0" fontId="29" fillId="0" borderId="31" xfId="34" applyFont="1" applyBorder="1" applyAlignment="1">
      <alignment vertical="center"/>
    </xf>
    <xf numFmtId="0" fontId="29" fillId="0" borderId="31" xfId="34" applyFont="1" applyBorder="1" applyAlignment="1">
      <alignment horizontal="center" vertical="center"/>
    </xf>
    <xf numFmtId="196" fontId="29" fillId="0" borderId="31" xfId="34" applyNumberFormat="1" applyFont="1" applyBorder="1" applyAlignment="1">
      <alignment vertical="center"/>
    </xf>
    <xf numFmtId="196" fontId="29" fillId="0" borderId="20" xfId="34" applyNumberFormat="1" applyFont="1" applyBorder="1" applyAlignment="1">
      <alignment vertical="center"/>
    </xf>
    <xf numFmtId="0" fontId="28" fillId="0" borderId="0" xfId="34" applyFont="1" applyAlignment="1">
      <alignment horizontal="center"/>
    </xf>
    <xf numFmtId="0" fontId="16" fillId="0" borderId="23" xfId="0" applyFont="1" applyFill="1" applyBorder="1" applyAlignment="1">
      <alignment horizontal="left" vertical="center"/>
    </xf>
    <xf numFmtId="0" fontId="30" fillId="0" borderId="24" xfId="0" applyFont="1" applyBorder="1" applyAlignment="1">
      <alignment vertical="center"/>
    </xf>
    <xf numFmtId="0" fontId="30" fillId="0" borderId="28" xfId="0" applyFont="1" applyBorder="1" applyAlignment="1">
      <alignment vertical="center"/>
    </xf>
    <xf numFmtId="41" fontId="40" fillId="0" borderId="4" xfId="12" applyFont="1" applyFill="1" applyBorder="1" applyAlignment="1">
      <alignment vertical="center"/>
    </xf>
    <xf numFmtId="0" fontId="30" fillId="0" borderId="34" xfId="0" applyFont="1" applyBorder="1" applyAlignment="1">
      <alignment vertical="center"/>
    </xf>
    <xf numFmtId="0" fontId="30" fillId="0" borderId="35" xfId="0" applyFont="1" applyBorder="1" applyAlignment="1">
      <alignment horizontal="center" vertical="center"/>
    </xf>
    <xf numFmtId="0" fontId="30" fillId="0" borderId="35" xfId="0" applyFont="1" applyBorder="1" applyAlignment="1">
      <alignment horizontal="distributed" vertical="center"/>
    </xf>
    <xf numFmtId="186" fontId="30" fillId="0" borderId="35" xfId="0" applyNumberFormat="1" applyFont="1" applyBorder="1" applyAlignment="1">
      <alignment vertical="center"/>
    </xf>
    <xf numFmtId="0" fontId="30" fillId="0" borderId="23" xfId="0" applyFont="1" applyBorder="1" applyAlignment="1">
      <alignment horizontal="distributed" vertical="center"/>
    </xf>
    <xf numFmtId="186" fontId="30" fillId="0" borderId="23" xfId="0" applyNumberFormat="1" applyFont="1" applyBorder="1" applyAlignment="1">
      <alignment vertical="center"/>
    </xf>
    <xf numFmtId="0" fontId="30" fillId="0" borderId="28" xfId="0" applyFont="1" applyBorder="1" applyAlignment="1">
      <alignment horizontal="center" vertical="center"/>
    </xf>
    <xf numFmtId="184" fontId="30" fillId="0" borderId="23" xfId="0" applyNumberFormat="1" applyFont="1" applyBorder="1" applyAlignment="1">
      <alignment vertical="center"/>
    </xf>
    <xf numFmtId="185" fontId="30" fillId="0" borderId="23" xfId="0" applyNumberFormat="1" applyFont="1" applyBorder="1" applyAlignment="1">
      <alignment vertical="center"/>
    </xf>
    <xf numFmtId="185" fontId="30" fillId="0" borderId="23" xfId="12" applyNumberFormat="1" applyFont="1" applyBorder="1" applyAlignment="1">
      <alignment vertical="center"/>
    </xf>
    <xf numFmtId="0" fontId="30" fillId="0" borderId="24" xfId="0" applyFont="1" applyFill="1" applyBorder="1" applyAlignment="1">
      <alignment vertical="center"/>
    </xf>
    <xf numFmtId="0" fontId="30" fillId="0" borderId="23" xfId="0" applyFont="1" applyFill="1" applyBorder="1" applyAlignment="1">
      <alignment horizontal="distributed" vertical="center"/>
    </xf>
    <xf numFmtId="185" fontId="30" fillId="0" borderId="23" xfId="12" applyNumberFormat="1" applyFont="1" applyFill="1" applyBorder="1" applyAlignment="1">
      <alignment vertical="center"/>
    </xf>
    <xf numFmtId="0" fontId="30" fillId="0" borderId="30" xfId="0" applyFont="1" applyBorder="1" applyAlignment="1">
      <alignment vertical="center"/>
    </xf>
    <xf numFmtId="0" fontId="30" fillId="0" borderId="31" xfId="0" applyFont="1" applyBorder="1" applyAlignment="1">
      <alignment horizontal="center" vertical="center"/>
    </xf>
    <xf numFmtId="0" fontId="30" fillId="0" borderId="31" xfId="0" applyFont="1" applyBorder="1" applyAlignment="1">
      <alignment horizontal="distributed" vertical="center"/>
    </xf>
    <xf numFmtId="185" fontId="30" fillId="0" borderId="31" xfId="12" applyNumberFormat="1" applyFont="1" applyBorder="1" applyAlignment="1">
      <alignment vertical="center"/>
    </xf>
    <xf numFmtId="186" fontId="30" fillId="0" borderId="31" xfId="0" applyNumberFormat="1" applyFont="1" applyBorder="1" applyAlignment="1">
      <alignment vertical="center"/>
    </xf>
    <xf numFmtId="0" fontId="30" fillId="0" borderId="20" xfId="0" applyFont="1" applyBorder="1" applyAlignment="1">
      <alignment horizontal="center" vertical="center"/>
    </xf>
    <xf numFmtId="188" fontId="31" fillId="0" borderId="23" xfId="0" applyNumberFormat="1" applyFont="1" applyBorder="1" applyAlignment="1">
      <alignment horizontal="centerContinuous" vertical="center"/>
    </xf>
    <xf numFmtId="188" fontId="31" fillId="0" borderId="31" xfId="0" applyNumberFormat="1" applyFont="1" applyBorder="1" applyAlignment="1">
      <alignment horizontal="center" vertical="center"/>
    </xf>
    <xf numFmtId="0" fontId="31" fillId="0" borderId="31" xfId="12" applyNumberFormat="1" applyFont="1" applyBorder="1" applyAlignment="1">
      <alignment horizontal="center" vertical="center"/>
    </xf>
    <xf numFmtId="3" fontId="31" fillId="0" borderId="31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right" vertical="center"/>
    </xf>
    <xf numFmtId="0" fontId="30" fillId="0" borderId="8" xfId="0" applyFont="1" applyBorder="1" applyAlignment="1">
      <alignment horizontal="right" vertical="center"/>
    </xf>
    <xf numFmtId="3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vertical="center"/>
    </xf>
    <xf numFmtId="0" fontId="30" fillId="0" borderId="18" xfId="0" applyFont="1" applyBorder="1" applyAlignment="1">
      <alignment vertical="center"/>
    </xf>
    <xf numFmtId="0" fontId="30" fillId="0" borderId="37" xfId="0" applyFont="1" applyBorder="1" applyAlignment="1">
      <alignment vertical="center"/>
    </xf>
    <xf numFmtId="184" fontId="30" fillId="0" borderId="23" xfId="0" applyNumberFormat="1" applyFont="1" applyFill="1" applyBorder="1" applyAlignment="1">
      <alignment vertical="center"/>
    </xf>
    <xf numFmtId="201" fontId="30" fillId="0" borderId="23" xfId="12" applyNumberFormat="1" applyFont="1" applyBorder="1" applyAlignment="1">
      <alignment vertical="center"/>
    </xf>
    <xf numFmtId="0" fontId="37" fillId="0" borderId="0" xfId="0" applyFont="1" applyAlignment="1">
      <alignment vertical="center"/>
    </xf>
    <xf numFmtId="202" fontId="23" fillId="0" borderId="0" xfId="12" quotePrefix="1" applyNumberFormat="1" applyFont="1" applyBorder="1" applyAlignment="1">
      <alignment vertical="center"/>
    </xf>
    <xf numFmtId="3" fontId="46" fillId="0" borderId="11" xfId="0" applyNumberFormat="1" applyFont="1" applyBorder="1" applyAlignment="1">
      <alignment horizontal="right"/>
    </xf>
    <xf numFmtId="0" fontId="0" fillId="0" borderId="35" xfId="0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97" fontId="16" fillId="0" borderId="25" xfId="0" applyNumberFormat="1" applyFont="1" applyBorder="1" applyAlignment="1">
      <alignment vertical="center"/>
    </xf>
    <xf numFmtId="3" fontId="16" fillId="0" borderId="25" xfId="0" applyNumberFormat="1" applyFont="1" applyBorder="1" applyAlignment="1">
      <alignment vertical="center"/>
    </xf>
    <xf numFmtId="0" fontId="16" fillId="0" borderId="2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197" fontId="16" fillId="0" borderId="23" xfId="0" applyNumberFormat="1" applyFont="1" applyBorder="1" applyAlignment="1">
      <alignment vertical="center"/>
    </xf>
    <xf numFmtId="3" fontId="16" fillId="0" borderId="23" xfId="0" applyNumberFormat="1" applyFont="1" applyBorder="1" applyAlignment="1">
      <alignment vertical="center"/>
    </xf>
    <xf numFmtId="199" fontId="16" fillId="0" borderId="23" xfId="0" applyNumberFormat="1" applyFont="1" applyBorder="1" applyAlignment="1">
      <alignment vertical="center"/>
    </xf>
    <xf numFmtId="200" fontId="16" fillId="0" borderId="23" xfId="0" applyNumberFormat="1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96" fontId="16" fillId="0" borderId="23" xfId="0" applyNumberFormat="1" applyFont="1" applyBorder="1" applyAlignment="1">
      <alignment vertical="center"/>
    </xf>
    <xf numFmtId="4" fontId="16" fillId="0" borderId="23" xfId="0" applyNumberFormat="1" applyFont="1" applyBorder="1" applyAlignment="1">
      <alignment vertical="center"/>
    </xf>
    <xf numFmtId="205" fontId="16" fillId="0" borderId="23" xfId="0" applyNumberFormat="1" applyFont="1" applyBorder="1" applyAlignment="1">
      <alignment vertical="center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vertical="center"/>
    </xf>
    <xf numFmtId="0" fontId="16" fillId="0" borderId="30" xfId="0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right" vertical="center"/>
    </xf>
    <xf numFmtId="3" fontId="16" fillId="0" borderId="31" xfId="0" applyNumberFormat="1" applyFont="1" applyBorder="1" applyAlignment="1">
      <alignment vertical="center"/>
    </xf>
    <xf numFmtId="3" fontId="0" fillId="0" borderId="0" xfId="0" applyNumberFormat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  <xf numFmtId="0" fontId="16" fillId="0" borderId="38" xfId="0" applyFont="1" applyBorder="1" applyAlignment="1">
      <alignment vertical="center"/>
    </xf>
    <xf numFmtId="0" fontId="48" fillId="0" borderId="39" xfId="0" applyFont="1" applyBorder="1" applyAlignment="1">
      <alignment vertical="center"/>
    </xf>
    <xf numFmtId="0" fontId="48" fillId="0" borderId="39" xfId="0" applyFont="1" applyBorder="1" applyAlignment="1">
      <alignment horizontal="center" vertical="center"/>
    </xf>
    <xf numFmtId="0" fontId="48" fillId="0" borderId="40" xfId="0" applyFont="1" applyBorder="1" applyAlignment="1">
      <alignment vertical="center"/>
    </xf>
    <xf numFmtId="0" fontId="2" fillId="0" borderId="0" xfId="0" applyFont="1"/>
    <xf numFmtId="0" fontId="48" fillId="0" borderId="24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23" xfId="0" applyFont="1" applyBorder="1" applyAlignment="1">
      <alignment vertical="center"/>
    </xf>
    <xf numFmtId="196" fontId="48" fillId="0" borderId="23" xfId="0" applyNumberFormat="1" applyFont="1" applyBorder="1" applyAlignment="1">
      <alignment vertical="center"/>
    </xf>
    <xf numFmtId="196" fontId="48" fillId="0" borderId="28" xfId="0" applyNumberFormat="1" applyFont="1" applyBorder="1" applyAlignment="1">
      <alignment vertical="center"/>
    </xf>
    <xf numFmtId="0" fontId="48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0" borderId="26" xfId="0" applyFont="1" applyBorder="1" applyAlignment="1">
      <alignment vertical="center"/>
    </xf>
    <xf numFmtId="0" fontId="48" fillId="0" borderId="25" xfId="0" applyFont="1" applyBorder="1" applyAlignment="1">
      <alignment vertical="center"/>
    </xf>
    <xf numFmtId="0" fontId="48" fillId="0" borderId="25" xfId="0" applyFont="1" applyBorder="1" applyAlignment="1">
      <alignment horizontal="center" vertical="center"/>
    </xf>
    <xf numFmtId="196" fontId="48" fillId="0" borderId="25" xfId="0" applyNumberFormat="1" applyFont="1" applyBorder="1" applyAlignment="1">
      <alignment vertical="center"/>
    </xf>
    <xf numFmtId="196" fontId="48" fillId="0" borderId="29" xfId="0" applyNumberFormat="1" applyFont="1" applyBorder="1" applyAlignment="1">
      <alignment vertical="center"/>
    </xf>
    <xf numFmtId="2" fontId="48" fillId="0" borderId="23" xfId="0" applyNumberFormat="1" applyFont="1" applyBorder="1" applyAlignment="1">
      <alignment vertical="center"/>
    </xf>
    <xf numFmtId="187" fontId="48" fillId="0" borderId="23" xfId="0" applyNumberFormat="1" applyFont="1" applyBorder="1" applyAlignment="1">
      <alignment vertical="center"/>
    </xf>
    <xf numFmtId="0" fontId="48" fillId="0" borderId="26" xfId="0" applyFont="1" applyBorder="1" applyAlignment="1">
      <alignment vertical="center"/>
    </xf>
    <xf numFmtId="0" fontId="48" fillId="0" borderId="30" xfId="0" applyFont="1" applyBorder="1" applyAlignment="1">
      <alignment horizontal="center" vertical="center"/>
    </xf>
    <xf numFmtId="0" fontId="48" fillId="0" borderId="31" xfId="0" applyFont="1" applyBorder="1" applyAlignment="1">
      <alignment vertical="center"/>
    </xf>
    <xf numFmtId="0" fontId="48" fillId="0" borderId="31" xfId="0" applyFont="1" applyBorder="1" applyAlignment="1">
      <alignment horizontal="center" vertical="center"/>
    </xf>
    <xf numFmtId="196" fontId="48" fillId="0" borderId="31" xfId="0" applyNumberFormat="1" applyFont="1" applyBorder="1" applyAlignment="1">
      <alignment vertical="center"/>
    </xf>
    <xf numFmtId="196" fontId="48" fillId="0" borderId="20" xfId="0" applyNumberFormat="1" applyFont="1" applyBorder="1" applyAlignment="1">
      <alignment vertical="center"/>
    </xf>
    <xf numFmtId="0" fontId="48" fillId="0" borderId="0" xfId="0" applyFont="1" applyAlignment="1">
      <alignment horizontal="center" vertical="center"/>
    </xf>
    <xf numFmtId="0" fontId="16" fillId="0" borderId="0" xfId="0" applyFont="1" applyAlignment="1"/>
    <xf numFmtId="0" fontId="0" fillId="0" borderId="26" xfId="0" applyBorder="1" applyAlignment="1">
      <alignment horizontal="center" vertical="center"/>
    </xf>
    <xf numFmtId="196" fontId="0" fillId="0" borderId="23" xfId="0" applyNumberFormat="1" applyBorder="1" applyAlignment="1">
      <alignment horizontal="center" vertical="center"/>
    </xf>
    <xf numFmtId="196" fontId="0" fillId="0" borderId="31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30" fillId="0" borderId="41" xfId="0" applyFont="1" applyBorder="1" applyAlignment="1">
      <alignment vertical="center"/>
    </xf>
    <xf numFmtId="0" fontId="30" fillId="0" borderId="42" xfId="0" applyFont="1" applyBorder="1" applyAlignment="1">
      <alignment horizontal="distributed" vertical="center"/>
    </xf>
    <xf numFmtId="185" fontId="30" fillId="0" borderId="42" xfId="12" applyNumberFormat="1" applyFont="1" applyBorder="1" applyAlignment="1">
      <alignment vertical="center"/>
    </xf>
    <xf numFmtId="184" fontId="30" fillId="0" borderId="42" xfId="0" applyNumberFormat="1" applyFont="1" applyBorder="1" applyAlignment="1">
      <alignment vertical="center"/>
    </xf>
    <xf numFmtId="0" fontId="30" fillId="0" borderId="15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3" fontId="23" fillId="0" borderId="0" xfId="12" quotePrefix="1" applyNumberFormat="1" applyFont="1" applyBorder="1" applyAlignment="1">
      <alignment vertical="center"/>
    </xf>
    <xf numFmtId="203" fontId="4" fillId="0" borderId="0" xfId="0" applyNumberFormat="1" applyFont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4" xfId="0" quotePrefix="1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0" fillId="0" borderId="43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0" xfId="0" quotePrefix="1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44" xfId="0" applyBorder="1" applyAlignment="1">
      <alignment vertical="center"/>
    </xf>
    <xf numFmtId="0" fontId="0" fillId="0" borderId="20" xfId="0" applyBorder="1" applyAlignment="1">
      <alignment vertical="center"/>
    </xf>
    <xf numFmtId="0" fontId="30" fillId="5" borderId="31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96" fontId="0" fillId="0" borderId="0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3" fontId="16" fillId="0" borderId="29" xfId="0" applyNumberFormat="1" applyFont="1" applyBorder="1" applyAlignment="1">
      <alignment vertical="center"/>
    </xf>
    <xf numFmtId="3" fontId="16" fillId="0" borderId="28" xfId="0" applyNumberFormat="1" applyFont="1" applyBorder="1" applyAlignment="1">
      <alignment vertical="center"/>
    </xf>
    <xf numFmtId="3" fontId="16" fillId="0" borderId="20" xfId="0" applyNumberFormat="1" applyFont="1" applyBorder="1" applyAlignment="1">
      <alignment vertical="center"/>
    </xf>
    <xf numFmtId="177" fontId="48" fillId="0" borderId="23" xfId="0" applyNumberFormat="1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48" fillId="0" borderId="46" xfId="0" applyFont="1" applyBorder="1" applyAlignment="1">
      <alignment vertical="center"/>
    </xf>
    <xf numFmtId="0" fontId="48" fillId="0" borderId="46" xfId="0" applyFont="1" applyBorder="1" applyAlignment="1">
      <alignment horizontal="center" vertical="center"/>
    </xf>
    <xf numFmtId="0" fontId="48" fillId="0" borderId="47" xfId="0" applyFont="1" applyBorder="1" applyAlignment="1">
      <alignment vertical="center"/>
    </xf>
    <xf numFmtId="0" fontId="2" fillId="0" borderId="48" xfId="0" applyFont="1" applyBorder="1"/>
    <xf numFmtId="0" fontId="51" fillId="0" borderId="24" xfId="0" applyFont="1" applyBorder="1" applyAlignment="1">
      <alignment horizontal="center" vertical="center"/>
    </xf>
    <xf numFmtId="0" fontId="51" fillId="0" borderId="23" xfId="0" applyFont="1" applyBorder="1" applyAlignment="1">
      <alignment horizontal="center" vertical="center"/>
    </xf>
    <xf numFmtId="207" fontId="51" fillId="0" borderId="23" xfId="12" applyNumberFormat="1" applyFont="1" applyBorder="1" applyAlignment="1">
      <alignment horizontal="center" vertical="center"/>
    </xf>
    <xf numFmtId="41" fontId="51" fillId="0" borderId="23" xfId="12" applyFont="1" applyBorder="1" applyAlignment="1">
      <alignment vertical="center"/>
    </xf>
    <xf numFmtId="212" fontId="51" fillId="0" borderId="23" xfId="12" applyNumberFormat="1" applyFont="1" applyBorder="1" applyAlignment="1">
      <alignment vertical="center"/>
    </xf>
    <xf numFmtId="41" fontId="51" fillId="0" borderId="28" xfId="12" applyFont="1" applyBorder="1" applyAlignment="1">
      <alignment vertical="center"/>
    </xf>
    <xf numFmtId="207" fontId="51" fillId="0" borderId="23" xfId="0" applyNumberFormat="1" applyFont="1" applyBorder="1" applyAlignment="1">
      <alignment horizontal="center" vertical="center"/>
    </xf>
    <xf numFmtId="209" fontId="51" fillId="0" borderId="23" xfId="12" applyNumberFormat="1" applyFont="1" applyBorder="1" applyAlignment="1">
      <alignment vertical="center"/>
    </xf>
    <xf numFmtId="208" fontId="51" fillId="0" borderId="23" xfId="0" applyNumberFormat="1" applyFont="1" applyBorder="1" applyAlignment="1">
      <alignment horizontal="center" vertical="center"/>
    </xf>
    <xf numFmtId="41" fontId="51" fillId="0" borderId="23" xfId="0" applyNumberFormat="1" applyFont="1" applyBorder="1" applyAlignment="1">
      <alignment horizontal="center" vertical="center"/>
    </xf>
    <xf numFmtId="206" fontId="51" fillId="0" borderId="23" xfId="0" applyNumberFormat="1" applyFont="1" applyBorder="1" applyAlignment="1">
      <alignment horizontal="center" vertical="center"/>
    </xf>
    <xf numFmtId="41" fontId="51" fillId="0" borderId="23" xfId="12" applyNumberFormat="1" applyFont="1" applyBorder="1" applyAlignment="1">
      <alignment vertical="center"/>
    </xf>
    <xf numFmtId="41" fontId="51" fillId="0" borderId="23" xfId="12" applyNumberFormat="1" applyFont="1" applyBorder="1" applyAlignment="1">
      <alignment horizontal="center" vertical="center"/>
    </xf>
    <xf numFmtId="41" fontId="51" fillId="0" borderId="28" xfId="12" applyNumberFormat="1" applyFont="1" applyBorder="1" applyAlignment="1">
      <alignment vertical="center"/>
    </xf>
    <xf numFmtId="0" fontId="51" fillId="0" borderId="30" xfId="0" applyFont="1" applyBorder="1" applyAlignment="1">
      <alignment horizontal="center" vertical="center"/>
    </xf>
    <xf numFmtId="0" fontId="51" fillId="0" borderId="31" xfId="0" applyFont="1" applyBorder="1" applyAlignment="1">
      <alignment horizontal="center" vertical="center"/>
    </xf>
    <xf numFmtId="206" fontId="51" fillId="0" borderId="31" xfId="0" applyNumberFormat="1" applyFont="1" applyBorder="1" applyAlignment="1">
      <alignment horizontal="center" vertical="center"/>
    </xf>
    <xf numFmtId="41" fontId="51" fillId="0" borderId="31" xfId="12" applyFont="1" applyBorder="1" applyAlignment="1">
      <alignment vertical="center"/>
    </xf>
    <xf numFmtId="209" fontId="51" fillId="0" borderId="31" xfId="12" applyNumberFormat="1" applyFont="1" applyBorder="1" applyAlignment="1">
      <alignment vertical="center"/>
    </xf>
    <xf numFmtId="41" fontId="51" fillId="0" borderId="20" xfId="12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196" fontId="0" fillId="0" borderId="29" xfId="0" applyNumberFormat="1" applyBorder="1" applyAlignment="1">
      <alignment horizontal="center" vertical="center"/>
    </xf>
    <xf numFmtId="196" fontId="0" fillId="0" borderId="49" xfId="0" applyNumberFormat="1" applyBorder="1" applyAlignment="1">
      <alignment horizontal="center" vertical="center"/>
    </xf>
    <xf numFmtId="0" fontId="50" fillId="0" borderId="0" xfId="37" applyFont="1" applyBorder="1"/>
    <xf numFmtId="0" fontId="50" fillId="0" borderId="0" xfId="37" applyFont="1"/>
    <xf numFmtId="0" fontId="50" fillId="0" borderId="0" xfId="37" applyFont="1" applyAlignment="1"/>
    <xf numFmtId="178" fontId="50" fillId="0" borderId="0" xfId="15" applyFont="1"/>
    <xf numFmtId="0" fontId="50" fillId="0" borderId="0" xfId="37" applyFont="1" applyAlignment="1">
      <alignment horizontal="center"/>
    </xf>
    <xf numFmtId="41" fontId="50" fillId="0" borderId="0" xfId="37" applyNumberFormat="1" applyFont="1"/>
    <xf numFmtId="0" fontId="50" fillId="0" borderId="0" xfId="37" applyFont="1" applyBorder="1" applyAlignment="1">
      <alignment vertical="center"/>
    </xf>
    <xf numFmtId="0" fontId="50" fillId="0" borderId="0" xfId="37" applyFont="1" applyAlignment="1">
      <alignment vertical="center"/>
    </xf>
    <xf numFmtId="41" fontId="54" fillId="0" borderId="36" xfId="37" applyNumberFormat="1" applyFont="1" applyFill="1" applyBorder="1" applyAlignment="1">
      <alignment horizontal="center" vertical="center"/>
    </xf>
    <xf numFmtId="41" fontId="54" fillId="0" borderId="23" xfId="37" applyNumberFormat="1" applyFont="1" applyFill="1" applyBorder="1" applyAlignment="1">
      <alignment horizontal="center" vertical="center"/>
    </xf>
    <xf numFmtId="41" fontId="54" fillId="0" borderId="28" xfId="37" applyNumberFormat="1" applyFont="1" applyFill="1" applyBorder="1" applyAlignment="1">
      <alignment horizontal="center" vertical="center"/>
    </xf>
    <xf numFmtId="41" fontId="50" fillId="0" borderId="23" xfId="37" applyNumberFormat="1" applyFont="1" applyBorder="1" applyAlignment="1">
      <alignment vertical="center"/>
    </xf>
    <xf numFmtId="41" fontId="50" fillId="0" borderId="28" xfId="37" applyNumberFormat="1" applyFont="1" applyBorder="1" applyAlignment="1">
      <alignment vertical="center"/>
    </xf>
    <xf numFmtId="0" fontId="50" fillId="0" borderId="24" xfId="37" applyFont="1" applyBorder="1" applyAlignment="1">
      <alignment horizontal="center" vertical="center"/>
    </xf>
    <xf numFmtId="0" fontId="50" fillId="0" borderId="23" xfId="37" applyFont="1" applyBorder="1" applyAlignment="1">
      <alignment horizontal="center" vertical="center"/>
    </xf>
    <xf numFmtId="176" fontId="50" fillId="0" borderId="23" xfId="37" applyNumberFormat="1" applyFont="1" applyBorder="1" applyAlignment="1">
      <alignment vertical="center"/>
    </xf>
    <xf numFmtId="41" fontId="50" fillId="0" borderId="23" xfId="15" applyNumberFormat="1" applyFont="1" applyBorder="1" applyAlignment="1">
      <alignment vertical="center"/>
    </xf>
    <xf numFmtId="41" fontId="50" fillId="0" borderId="28" xfId="15" applyNumberFormat="1" applyFont="1" applyBorder="1" applyAlignment="1">
      <alignment vertical="center"/>
    </xf>
    <xf numFmtId="185" fontId="50" fillId="0" borderId="23" xfId="37" applyNumberFormat="1" applyFont="1" applyBorder="1" applyAlignment="1">
      <alignment horizontal="center" vertical="center"/>
    </xf>
    <xf numFmtId="177" fontId="50" fillId="0" borderId="23" xfId="37" applyNumberFormat="1" applyFont="1" applyBorder="1" applyAlignment="1">
      <alignment vertical="center"/>
    </xf>
    <xf numFmtId="0" fontId="50" fillId="0" borderId="23" xfId="37" applyFont="1" applyBorder="1" applyAlignment="1">
      <alignment vertical="center"/>
    </xf>
    <xf numFmtId="0" fontId="50" fillId="0" borderId="30" xfId="37" applyFont="1" applyBorder="1" applyAlignment="1">
      <alignment horizontal="center" vertical="center"/>
    </xf>
    <xf numFmtId="0" fontId="50" fillId="0" borderId="31" xfId="37" applyFont="1" applyBorder="1" applyAlignment="1">
      <alignment horizontal="center" vertical="center"/>
    </xf>
    <xf numFmtId="0" fontId="50" fillId="0" borderId="31" xfId="37" applyFont="1" applyBorder="1" applyAlignment="1">
      <alignment vertical="center"/>
    </xf>
    <xf numFmtId="41" fontId="50" fillId="0" borderId="31" xfId="37" applyNumberFormat="1" applyFont="1" applyBorder="1" applyAlignment="1">
      <alignment vertical="center"/>
    </xf>
    <xf numFmtId="41" fontId="50" fillId="0" borderId="20" xfId="37" applyNumberFormat="1" applyFont="1" applyBorder="1" applyAlignment="1">
      <alignment vertical="center"/>
    </xf>
    <xf numFmtId="41" fontId="50" fillId="0" borderId="35" xfId="37" applyNumberFormat="1" applyFont="1" applyBorder="1" applyAlignment="1">
      <alignment vertical="center"/>
    </xf>
    <xf numFmtId="41" fontId="50" fillId="0" borderId="36" xfId="37" applyNumberFormat="1" applyFont="1" applyBorder="1" applyAlignment="1">
      <alignment vertical="center"/>
    </xf>
    <xf numFmtId="210" fontId="50" fillId="0" borderId="23" xfId="15" applyNumberFormat="1" applyFont="1" applyBorder="1" applyAlignment="1">
      <alignment vertical="center"/>
    </xf>
    <xf numFmtId="211" fontId="50" fillId="0" borderId="23" xfId="15" applyNumberFormat="1" applyFont="1" applyBorder="1" applyAlignment="1">
      <alignment vertical="center"/>
    </xf>
    <xf numFmtId="178" fontId="50" fillId="0" borderId="23" xfId="15" applyNumberFormat="1" applyFont="1" applyBorder="1" applyAlignment="1">
      <alignment vertical="center"/>
    </xf>
    <xf numFmtId="185" fontId="50" fillId="0" borderId="24" xfId="37" applyNumberFormat="1" applyFont="1" applyBorder="1" applyAlignment="1">
      <alignment horizontal="center" vertical="center"/>
    </xf>
    <xf numFmtId="185" fontId="51" fillId="0" borderId="23" xfId="37" applyNumberFormat="1" applyFont="1" applyBorder="1" applyAlignment="1">
      <alignment horizontal="center" vertical="center"/>
    </xf>
    <xf numFmtId="178" fontId="50" fillId="0" borderId="23" xfId="15" applyNumberFormat="1" applyFont="1" applyBorder="1" applyAlignment="1">
      <alignment horizontal="right" vertical="center"/>
    </xf>
    <xf numFmtId="178" fontId="50" fillId="0" borderId="23" xfId="15" applyFont="1" applyBorder="1" applyAlignment="1">
      <alignment vertical="center"/>
    </xf>
    <xf numFmtId="178" fontId="50" fillId="0" borderId="31" xfId="15" applyFont="1" applyBorder="1" applyAlignment="1">
      <alignment vertical="center"/>
    </xf>
    <xf numFmtId="10" fontId="50" fillId="0" borderId="23" xfId="10" applyNumberFormat="1" applyFont="1" applyBorder="1" applyAlignment="1">
      <alignment vertical="center"/>
    </xf>
    <xf numFmtId="207" fontId="50" fillId="0" borderId="31" xfId="37" applyNumberFormat="1" applyFont="1" applyBorder="1" applyAlignment="1">
      <alignment vertical="center"/>
    </xf>
    <xf numFmtId="214" fontId="50" fillId="0" borderId="23" xfId="10" applyNumberFormat="1" applyFont="1" applyBorder="1" applyAlignment="1">
      <alignment vertical="center"/>
    </xf>
    <xf numFmtId="0" fontId="30" fillId="5" borderId="31" xfId="34" applyFont="1" applyFill="1" applyBorder="1" applyAlignment="1">
      <alignment horizontal="center" vertical="center"/>
    </xf>
    <xf numFmtId="0" fontId="30" fillId="5" borderId="20" xfId="34" applyFont="1" applyFill="1" applyBorder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8" fillId="6" borderId="24" xfId="0" applyFont="1" applyFill="1" applyBorder="1" applyAlignment="1">
      <alignment horizontal="center" vertical="center" wrapText="1"/>
    </xf>
    <xf numFmtId="0" fontId="48" fillId="6" borderId="23" xfId="0" applyFont="1" applyFill="1" applyBorder="1" applyAlignment="1">
      <alignment horizontal="center" vertical="center" wrapText="1"/>
    </xf>
    <xf numFmtId="3" fontId="48" fillId="6" borderId="23" xfId="0" applyNumberFormat="1" applyFont="1" applyFill="1" applyBorder="1" applyAlignment="1">
      <alignment horizontal="center" vertical="center" wrapText="1"/>
    </xf>
    <xf numFmtId="0" fontId="48" fillId="6" borderId="28" xfId="0" applyFont="1" applyFill="1" applyBorder="1" applyAlignment="1">
      <alignment horizontal="center" vertical="center" wrapText="1"/>
    </xf>
    <xf numFmtId="0" fontId="48" fillId="6" borderId="42" xfId="0" applyFont="1" applyFill="1" applyBorder="1" applyAlignment="1">
      <alignment horizontal="center" vertical="center" wrapText="1"/>
    </xf>
    <xf numFmtId="0" fontId="48" fillId="6" borderId="24" xfId="0" applyFont="1" applyFill="1" applyBorder="1" applyAlignment="1">
      <alignment vertical="center" wrapText="1"/>
    </xf>
    <xf numFmtId="0" fontId="48" fillId="6" borderId="23" xfId="0" applyFont="1" applyFill="1" applyBorder="1" applyAlignment="1">
      <alignment vertical="center" wrapText="1"/>
    </xf>
    <xf numFmtId="0" fontId="48" fillId="6" borderId="28" xfId="0" applyFont="1" applyFill="1" applyBorder="1" applyAlignment="1">
      <alignment vertical="center" wrapText="1"/>
    </xf>
    <xf numFmtId="200" fontId="48" fillId="6" borderId="23" xfId="0" applyNumberFormat="1" applyFont="1" applyFill="1" applyBorder="1" applyAlignment="1">
      <alignment horizontal="center" vertical="center" wrapText="1"/>
    </xf>
    <xf numFmtId="0" fontId="47" fillId="6" borderId="24" xfId="0" applyFont="1" applyFill="1" applyBorder="1" applyAlignment="1">
      <alignment horizontal="center" vertical="center" wrapText="1"/>
    </xf>
    <xf numFmtId="3" fontId="58" fillId="6" borderId="23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7" fillId="6" borderId="30" xfId="0" applyFont="1" applyFill="1" applyBorder="1" applyAlignment="1">
      <alignment horizontal="center" vertical="center" wrapText="1"/>
    </xf>
    <xf numFmtId="0" fontId="48" fillId="6" borderId="31" xfId="0" applyFont="1" applyFill="1" applyBorder="1" applyAlignment="1">
      <alignment horizontal="center" vertical="center" wrapText="1"/>
    </xf>
    <xf numFmtId="3" fontId="58" fillId="6" borderId="31" xfId="0" applyNumberFormat="1" applyFont="1" applyFill="1" applyBorder="1" applyAlignment="1">
      <alignment horizontal="center" vertical="center" wrapText="1"/>
    </xf>
    <xf numFmtId="0" fontId="48" fillId="6" borderId="20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wrapText="1"/>
    </xf>
    <xf numFmtId="0" fontId="47" fillId="2" borderId="35" xfId="0" applyFont="1" applyFill="1" applyBorder="1" applyAlignment="1">
      <alignment horizontal="center" wrapText="1"/>
    </xf>
    <xf numFmtId="0" fontId="47" fillId="2" borderId="36" xfId="0" applyFont="1" applyFill="1" applyBorder="1" applyAlignment="1">
      <alignment horizontal="center" wrapText="1"/>
    </xf>
    <xf numFmtId="0" fontId="48" fillId="6" borderId="24" xfId="0" applyFont="1" applyFill="1" applyBorder="1" applyAlignment="1">
      <alignment horizontal="center" wrapText="1"/>
    </xf>
    <xf numFmtId="0" fontId="48" fillId="6" borderId="23" xfId="0" applyFont="1" applyFill="1" applyBorder="1" applyAlignment="1">
      <alignment horizontal="center" wrapText="1"/>
    </xf>
    <xf numFmtId="3" fontId="48" fillId="6" borderId="23" xfId="0" applyNumberFormat="1" applyFont="1" applyFill="1" applyBorder="1" applyAlignment="1">
      <alignment horizontal="center" wrapText="1"/>
    </xf>
    <xf numFmtId="0" fontId="48" fillId="6" borderId="28" xfId="0" applyFont="1" applyFill="1" applyBorder="1" applyAlignment="1">
      <alignment horizontal="center" wrapText="1"/>
    </xf>
    <xf numFmtId="0" fontId="48" fillId="6" borderId="41" xfId="0" applyFont="1" applyFill="1" applyBorder="1" applyAlignment="1">
      <alignment horizontal="center" wrapText="1"/>
    </xf>
    <xf numFmtId="0" fontId="48" fillId="6" borderId="42" xfId="0" applyFont="1" applyFill="1" applyBorder="1" applyAlignment="1">
      <alignment horizontal="center" wrapText="1"/>
    </xf>
    <xf numFmtId="3" fontId="48" fillId="6" borderId="42" xfId="0" applyNumberFormat="1" applyFont="1" applyFill="1" applyBorder="1" applyAlignment="1">
      <alignment horizontal="center" wrapText="1"/>
    </xf>
    <xf numFmtId="0" fontId="48" fillId="6" borderId="15" xfId="0" applyFont="1" applyFill="1" applyBorder="1" applyAlignment="1">
      <alignment horizontal="center" wrapText="1"/>
    </xf>
    <xf numFmtId="0" fontId="47" fillId="6" borderId="30" xfId="0" applyFont="1" applyFill="1" applyBorder="1" applyAlignment="1">
      <alignment horizontal="center" wrapText="1"/>
    </xf>
    <xf numFmtId="0" fontId="48" fillId="6" borderId="31" xfId="0" applyFont="1" applyFill="1" applyBorder="1" applyAlignment="1">
      <alignment horizontal="center" wrapText="1"/>
    </xf>
    <xf numFmtId="0" fontId="2" fillId="0" borderId="20" xfId="0" applyFont="1" applyFill="1" applyBorder="1"/>
    <xf numFmtId="0" fontId="59" fillId="0" borderId="36" xfId="0" applyFon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2" fontId="50" fillId="0" borderId="23" xfId="37" applyNumberFormat="1" applyFont="1" applyBorder="1" applyAlignment="1">
      <alignment vertical="center"/>
    </xf>
    <xf numFmtId="41" fontId="60" fillId="0" borderId="28" xfId="15" applyNumberFormat="1" applyFont="1" applyBorder="1" applyAlignment="1">
      <alignment vertical="center"/>
    </xf>
    <xf numFmtId="176" fontId="48" fillId="0" borderId="23" xfId="0" applyNumberFormat="1" applyFont="1" applyBorder="1" applyAlignment="1">
      <alignment vertical="center"/>
    </xf>
    <xf numFmtId="0" fontId="48" fillId="0" borderId="24" xfId="0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/>
    </xf>
    <xf numFmtId="0" fontId="47" fillId="0" borderId="31" xfId="0" applyFont="1" applyBorder="1" applyAlignment="1">
      <alignment vertical="center"/>
    </xf>
    <xf numFmtId="0" fontId="47" fillId="0" borderId="31" xfId="0" applyFont="1" applyBorder="1" applyAlignment="1">
      <alignment horizontal="center" vertical="center"/>
    </xf>
    <xf numFmtId="196" fontId="47" fillId="0" borderId="31" xfId="0" applyNumberFormat="1" applyFont="1" applyBorder="1" applyAlignment="1">
      <alignment vertical="center"/>
    </xf>
    <xf numFmtId="196" fontId="47" fillId="0" borderId="20" xfId="0" applyNumberFormat="1" applyFont="1" applyBorder="1" applyAlignment="1">
      <alignment vertical="center"/>
    </xf>
    <xf numFmtId="0" fontId="61" fillId="0" borderId="0" xfId="0" applyFont="1"/>
    <xf numFmtId="0" fontId="0" fillId="0" borderId="13" xfId="0" applyBorder="1" applyAlignment="1">
      <alignment horizontal="center" vertical="center"/>
    </xf>
    <xf numFmtId="196" fontId="0" fillId="0" borderId="42" xfId="0" applyNumberFormat="1" applyBorder="1" applyAlignment="1">
      <alignment horizontal="center" vertical="center"/>
    </xf>
    <xf numFmtId="196" fontId="0" fillId="0" borderId="5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96" fontId="0" fillId="0" borderId="28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96" fontId="62" fillId="0" borderId="23" xfId="0" applyNumberFormat="1" applyFont="1" applyBorder="1" applyAlignment="1">
      <alignment vertical="center"/>
    </xf>
    <xf numFmtId="176" fontId="30" fillId="0" borderId="23" xfId="0" applyNumberFormat="1" applyFont="1" applyFill="1" applyBorder="1" applyAlignment="1">
      <alignment horizontal="center" vertical="center"/>
    </xf>
    <xf numFmtId="196" fontId="30" fillId="0" borderId="23" xfId="0" applyNumberFormat="1" applyFont="1" applyFill="1" applyBorder="1" applyAlignment="1">
      <alignment horizontal="center" vertical="center"/>
    </xf>
    <xf numFmtId="2" fontId="30" fillId="0" borderId="23" xfId="0" applyNumberFormat="1" applyFont="1" applyBorder="1" applyAlignment="1">
      <alignment vertical="center"/>
    </xf>
    <xf numFmtId="0" fontId="29" fillId="0" borderId="26" xfId="0" applyFont="1" applyBorder="1" applyAlignment="1">
      <alignment horizontal="center" vertical="center"/>
    </xf>
    <xf numFmtId="196" fontId="29" fillId="0" borderId="29" xfId="0" applyNumberFormat="1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28" fillId="0" borderId="23" xfId="0" applyFont="1" applyBorder="1" applyAlignment="1">
      <alignment vertical="center"/>
    </xf>
    <xf numFmtId="0" fontId="30" fillId="0" borderId="24" xfId="0" applyFont="1" applyFill="1" applyBorder="1" applyAlignment="1">
      <alignment horizontal="left" vertical="center"/>
    </xf>
    <xf numFmtId="0" fontId="30" fillId="0" borderId="24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96" fontId="0" fillId="0" borderId="6" xfId="0" applyNumberFormat="1" applyBorder="1" applyAlignment="1">
      <alignment horizontal="center" vertical="center"/>
    </xf>
    <xf numFmtId="196" fontId="16" fillId="0" borderId="29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96" fontId="0" fillId="0" borderId="0" xfId="0" applyNumberFormat="1" applyAlignment="1">
      <alignment vertical="center"/>
    </xf>
    <xf numFmtId="0" fontId="0" fillId="0" borderId="45" xfId="0" applyBorder="1" applyAlignment="1">
      <alignment horizontal="center" vertical="center"/>
    </xf>
    <xf numFmtId="196" fontId="0" fillId="0" borderId="20" xfId="0" applyNumberFormat="1" applyBorder="1" applyAlignment="1">
      <alignment horizontal="center" vertical="center"/>
    </xf>
    <xf numFmtId="196" fontId="61" fillId="0" borderId="23" xfId="0" applyNumberFormat="1" applyFont="1" applyBorder="1" applyAlignment="1">
      <alignment horizontal="center" vertical="center"/>
    </xf>
    <xf numFmtId="196" fontId="61" fillId="0" borderId="42" xfId="0" applyNumberFormat="1" applyFont="1" applyBorder="1" applyAlignment="1">
      <alignment horizontal="center" vertical="center"/>
    </xf>
    <xf numFmtId="196" fontId="61" fillId="0" borderId="51" xfId="0" applyNumberFormat="1" applyFont="1" applyBorder="1" applyAlignment="1">
      <alignment horizontal="center" vertical="center"/>
    </xf>
    <xf numFmtId="196" fontId="61" fillId="0" borderId="23" xfId="0" applyNumberFormat="1" applyFont="1" applyBorder="1" applyAlignment="1">
      <alignment horizontal="center" vertical="center" wrapText="1"/>
    </xf>
    <xf numFmtId="0" fontId="0" fillId="0" borderId="11" xfId="0" applyBorder="1"/>
    <xf numFmtId="3" fontId="0" fillId="0" borderId="11" xfId="0" applyNumberFormat="1" applyBorder="1" applyAlignment="1"/>
    <xf numFmtId="0" fontId="16" fillId="0" borderId="29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198" fontId="16" fillId="0" borderId="23" xfId="0" applyNumberFormat="1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0" fillId="0" borderId="23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203" fontId="65" fillId="0" borderId="0" xfId="12" quotePrefix="1" applyNumberFormat="1" applyFont="1" applyBorder="1" applyAlignment="1">
      <alignment vertical="center"/>
    </xf>
    <xf numFmtId="196" fontId="0" fillId="0" borderId="33" xfId="0" applyNumberFormat="1" applyBorder="1" applyAlignment="1">
      <alignment horizontal="center" vertical="center"/>
    </xf>
    <xf numFmtId="196" fontId="0" fillId="0" borderId="19" xfId="0" applyNumberForma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30" fillId="0" borderId="8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76" fontId="30" fillId="0" borderId="0" xfId="0" applyNumberFormat="1" applyFont="1" applyFill="1" applyBorder="1" applyAlignment="1">
      <alignment vertical="center"/>
    </xf>
    <xf numFmtId="0" fontId="66" fillId="0" borderId="23" xfId="0" applyFont="1" applyBorder="1" applyAlignment="1">
      <alignment horizontal="center" vertical="center"/>
    </xf>
    <xf numFmtId="191" fontId="23" fillId="0" borderId="14" xfId="0" applyNumberFormat="1" applyFont="1" applyBorder="1" applyAlignment="1">
      <alignment vertical="center"/>
    </xf>
    <xf numFmtId="215" fontId="30" fillId="0" borderId="23" xfId="12" applyNumberFormat="1" applyFont="1" applyFill="1" applyBorder="1" applyAlignment="1">
      <alignment vertical="center"/>
    </xf>
    <xf numFmtId="0" fontId="66" fillId="0" borderId="24" xfId="0" applyFont="1" applyBorder="1" applyAlignment="1">
      <alignment horizontal="center" vertical="center"/>
    </xf>
    <xf numFmtId="0" fontId="70" fillId="0" borderId="0" xfId="31" applyNumberFormat="1" applyFont="1" applyBorder="1" applyAlignment="1">
      <alignment horizontal="left" vertical="center"/>
    </xf>
    <xf numFmtId="0" fontId="71" fillId="0" borderId="0" xfId="31" applyFont="1" applyBorder="1" applyAlignment="1">
      <alignment vertical="center"/>
    </xf>
    <xf numFmtId="41" fontId="70" fillId="7" borderId="31" xfId="12" applyFont="1" applyFill="1" applyBorder="1" applyAlignment="1">
      <alignment horizontal="center" vertical="center"/>
    </xf>
    <xf numFmtId="41" fontId="70" fillId="7" borderId="19" xfId="12" applyFont="1" applyFill="1" applyBorder="1" applyAlignment="1">
      <alignment horizontal="center" vertical="center"/>
    </xf>
    <xf numFmtId="0" fontId="70" fillId="0" borderId="34" xfId="22" applyFont="1" applyBorder="1" applyAlignment="1">
      <alignment vertical="center"/>
    </xf>
    <xf numFmtId="0" fontId="70" fillId="0" borderId="35" xfId="22" applyFont="1" applyBorder="1" applyAlignment="1">
      <alignment vertical="center"/>
    </xf>
    <xf numFmtId="0" fontId="70" fillId="0" borderId="35" xfId="22" applyNumberFormat="1" applyFont="1" applyBorder="1" applyAlignment="1">
      <alignment horizontal="center" vertical="center"/>
    </xf>
    <xf numFmtId="216" fontId="71" fillId="0" borderId="27" xfId="22" applyNumberFormat="1" applyFont="1" applyBorder="1" applyAlignment="1">
      <alignment horizontal="center" vertical="center"/>
    </xf>
    <xf numFmtId="0" fontId="71" fillId="0" borderId="24" xfId="12" applyNumberFormat="1" applyFont="1" applyBorder="1" applyAlignment="1">
      <alignment horizontal="left" vertical="center"/>
    </xf>
    <xf numFmtId="0" fontId="70" fillId="0" borderId="23" xfId="22" applyNumberFormat="1" applyFont="1" applyBorder="1" applyAlignment="1">
      <alignment vertical="center"/>
    </xf>
    <xf numFmtId="0" fontId="70" fillId="0" borderId="23" xfId="22" applyNumberFormat="1" applyFont="1" applyBorder="1" applyAlignment="1">
      <alignment horizontal="center" vertical="center"/>
    </xf>
    <xf numFmtId="0" fontId="70" fillId="0" borderId="23" xfId="22" applyFont="1" applyBorder="1" applyAlignment="1">
      <alignment vertical="center"/>
    </xf>
    <xf numFmtId="0" fontId="70" fillId="0" borderId="28" xfId="22" applyNumberFormat="1" applyFont="1" applyBorder="1" applyAlignment="1">
      <alignment horizontal="center" vertical="center"/>
    </xf>
    <xf numFmtId="41" fontId="71" fillId="0" borderId="24" xfId="12" applyFont="1" applyFill="1" applyBorder="1" applyAlignment="1">
      <alignment horizontal="left" vertical="center"/>
    </xf>
    <xf numFmtId="0" fontId="73" fillId="0" borderId="23" xfId="36" applyNumberFormat="1" applyFont="1" applyBorder="1" applyAlignment="1">
      <alignment horizontal="center" vertical="center"/>
    </xf>
    <xf numFmtId="0" fontId="73" fillId="0" borderId="23" xfId="12" applyNumberFormat="1" applyFont="1" applyBorder="1" applyAlignment="1">
      <alignment horizontal="center" vertical="center"/>
    </xf>
    <xf numFmtId="217" fontId="73" fillId="0" borderId="23" xfId="36" applyNumberFormat="1" applyFont="1" applyBorder="1" applyAlignment="1">
      <alignment horizontal="center" vertical="center"/>
    </xf>
    <xf numFmtId="41" fontId="71" fillId="0" borderId="23" xfId="12" applyFont="1" applyBorder="1" applyAlignment="1">
      <alignment vertical="center"/>
    </xf>
    <xf numFmtId="41" fontId="71" fillId="0" borderId="23" xfId="22" applyNumberFormat="1" applyFont="1" applyBorder="1" applyAlignment="1">
      <alignment vertical="center" shrinkToFit="1"/>
    </xf>
    <xf numFmtId="0" fontId="71" fillId="0" borderId="28" xfId="22" applyNumberFormat="1" applyFont="1" applyBorder="1" applyAlignment="1">
      <alignment horizontal="center" vertical="center"/>
    </xf>
    <xf numFmtId="0" fontId="71" fillId="0" borderId="24" xfId="12" applyNumberFormat="1" applyFont="1" applyFill="1" applyBorder="1" applyAlignment="1">
      <alignment horizontal="right" vertical="center"/>
    </xf>
    <xf numFmtId="0" fontId="71" fillId="0" borderId="23" xfId="27" applyFont="1" applyBorder="1" applyAlignment="1">
      <alignment horizontal="center" vertical="center"/>
    </xf>
    <xf numFmtId="0" fontId="71" fillId="0" borderId="23" xfId="27" applyNumberFormat="1" applyFont="1" applyBorder="1" applyAlignment="1">
      <alignment horizontal="center" vertical="center"/>
    </xf>
    <xf numFmtId="0" fontId="71" fillId="0" borderId="23" xfId="12" applyNumberFormat="1" applyFont="1" applyFill="1" applyBorder="1" applyAlignment="1">
      <alignment horizontal="center" vertical="center"/>
    </xf>
    <xf numFmtId="208" fontId="71" fillId="0" borderId="23" xfId="12" applyNumberFormat="1" applyFont="1" applyBorder="1" applyAlignment="1">
      <alignment horizontal="right" vertical="center"/>
    </xf>
    <xf numFmtId="4" fontId="71" fillId="0" borderId="23" xfId="22" applyNumberFormat="1" applyFont="1" applyBorder="1" applyAlignment="1">
      <alignment horizontal="center" vertical="center"/>
    </xf>
    <xf numFmtId="208" fontId="71" fillId="0" borderId="23" xfId="12" applyNumberFormat="1" applyFont="1" applyBorder="1" applyAlignment="1">
      <alignment vertical="center"/>
    </xf>
    <xf numFmtId="208" fontId="73" fillId="0" borderId="23" xfId="12" applyNumberFormat="1" applyFont="1" applyBorder="1" applyAlignment="1">
      <alignment horizontal="right" vertical="center"/>
    </xf>
    <xf numFmtId="4" fontId="73" fillId="0" borderId="23" xfId="36" applyNumberFormat="1" applyFont="1" applyBorder="1" applyAlignment="1">
      <alignment horizontal="center" vertical="center"/>
    </xf>
    <xf numFmtId="0" fontId="73" fillId="0" borderId="23" xfId="36" applyFont="1" applyBorder="1" applyAlignment="1">
      <alignment horizontal="center" vertical="center"/>
    </xf>
    <xf numFmtId="0" fontId="71" fillId="0" borderId="26" xfId="12" applyNumberFormat="1" applyFont="1" applyFill="1" applyBorder="1" applyAlignment="1">
      <alignment horizontal="right" vertical="center"/>
    </xf>
    <xf numFmtId="0" fontId="71" fillId="0" borderId="43" xfId="12" applyNumberFormat="1" applyFont="1" applyFill="1" applyBorder="1" applyAlignment="1">
      <alignment horizontal="center" vertical="center"/>
    </xf>
    <xf numFmtId="0" fontId="71" fillId="0" borderId="23" xfId="22" applyNumberFormat="1" applyFont="1" applyBorder="1" applyAlignment="1">
      <alignment horizontal="center" vertical="center"/>
    </xf>
    <xf numFmtId="41" fontId="71" fillId="0" borderId="23" xfId="12" applyFont="1" applyBorder="1" applyAlignment="1">
      <alignment horizontal="right" vertical="center"/>
    </xf>
    <xf numFmtId="0" fontId="71" fillId="0" borderId="24" xfId="22" applyNumberFormat="1" applyFont="1" applyBorder="1" applyAlignment="1">
      <alignment horizontal="center" vertical="center"/>
    </xf>
    <xf numFmtId="0" fontId="71" fillId="0" borderId="22" xfId="22" applyNumberFormat="1" applyFont="1" applyBorder="1" applyAlignment="1">
      <alignment horizontal="left" vertical="center"/>
    </xf>
    <xf numFmtId="0" fontId="71" fillId="0" borderId="28" xfId="12" applyNumberFormat="1" applyFont="1" applyBorder="1" applyAlignment="1">
      <alignment horizontal="center" vertical="center"/>
    </xf>
    <xf numFmtId="0" fontId="71" fillId="0" borderId="23" xfId="31" applyNumberFormat="1" applyFont="1" applyBorder="1" applyAlignment="1">
      <alignment horizontal="center" vertical="center"/>
    </xf>
    <xf numFmtId="41" fontId="70" fillId="0" borderId="23" xfId="12" applyFont="1" applyBorder="1" applyAlignment="1">
      <alignment vertical="center"/>
    </xf>
    <xf numFmtId="0" fontId="71" fillId="0" borderId="24" xfId="31" applyNumberFormat="1" applyFont="1" applyBorder="1" applyAlignment="1">
      <alignment vertical="center"/>
    </xf>
    <xf numFmtId="0" fontId="71" fillId="0" borderId="23" xfId="31" applyNumberFormat="1" applyFont="1" applyBorder="1" applyAlignment="1">
      <alignment horizontal="left" vertical="center"/>
    </xf>
    <xf numFmtId="0" fontId="71" fillId="0" borderId="30" xfId="31" applyNumberFormat="1" applyFont="1" applyBorder="1" applyAlignment="1">
      <alignment vertical="center"/>
    </xf>
    <xf numFmtId="0" fontId="71" fillId="0" borderId="31" xfId="31" applyNumberFormat="1" applyFont="1" applyBorder="1" applyAlignment="1">
      <alignment horizontal="left" vertical="center"/>
    </xf>
    <xf numFmtId="0" fontId="71" fillId="0" borderId="31" xfId="31" applyNumberFormat="1" applyFont="1" applyBorder="1" applyAlignment="1">
      <alignment horizontal="center" vertical="center"/>
    </xf>
    <xf numFmtId="41" fontId="71" fillId="0" borderId="31" xfId="12" applyFont="1" applyBorder="1" applyAlignment="1">
      <alignment vertical="center"/>
    </xf>
    <xf numFmtId="0" fontId="71" fillId="0" borderId="20" xfId="12" applyNumberFormat="1" applyFont="1" applyBorder="1" applyAlignment="1">
      <alignment horizontal="center" vertical="center"/>
    </xf>
    <xf numFmtId="0" fontId="71" fillId="0" borderId="0" xfId="31" applyNumberFormat="1" applyFont="1" applyBorder="1" applyAlignment="1">
      <alignment vertical="center"/>
    </xf>
    <xf numFmtId="0" fontId="71" fillId="0" borderId="0" xfId="31" applyNumberFormat="1" applyFont="1" applyBorder="1" applyAlignment="1">
      <alignment horizontal="left" vertical="center"/>
    </xf>
    <xf numFmtId="0" fontId="71" fillId="0" borderId="0" xfId="31" applyNumberFormat="1" applyFont="1" applyBorder="1" applyAlignment="1">
      <alignment horizontal="center" vertical="center"/>
    </xf>
    <xf numFmtId="41" fontId="71" fillId="0" borderId="0" xfId="12" applyFont="1" applyBorder="1" applyAlignment="1">
      <alignment vertical="center"/>
    </xf>
    <xf numFmtId="0" fontId="71" fillId="0" borderId="0" xfId="12" applyNumberFormat="1" applyFont="1" applyBorder="1" applyAlignment="1">
      <alignment horizontal="center" vertical="center"/>
    </xf>
    <xf numFmtId="0" fontId="50" fillId="0" borderId="0" xfId="29" applyFont="1"/>
    <xf numFmtId="0" fontId="50" fillId="0" borderId="0" xfId="30" applyFont="1" applyFill="1" applyAlignment="1">
      <alignment vertical="center"/>
    </xf>
    <xf numFmtId="0" fontId="50" fillId="0" borderId="0" xfId="30" applyFont="1" applyFill="1" applyBorder="1" applyAlignment="1">
      <alignment vertical="center"/>
    </xf>
    <xf numFmtId="0" fontId="76" fillId="0" borderId="0" xfId="30" applyFont="1" applyFill="1" applyBorder="1" applyAlignment="1">
      <alignment vertical="center"/>
    </xf>
    <xf numFmtId="0" fontId="77" fillId="0" borderId="0" xfId="30" applyFont="1" applyFill="1" applyBorder="1" applyAlignment="1">
      <alignment vertical="center"/>
    </xf>
    <xf numFmtId="0" fontId="50" fillId="0" borderId="11" xfId="30" applyFont="1" applyFill="1" applyBorder="1" applyAlignment="1">
      <alignment horizontal="left" vertical="center"/>
    </xf>
    <xf numFmtId="0" fontId="78" fillId="0" borderId="0" xfId="30" applyFont="1" applyFill="1" applyBorder="1" applyAlignment="1">
      <alignment horizontal="left" vertical="center"/>
    </xf>
    <xf numFmtId="0" fontId="50" fillId="0" borderId="0" xfId="30" applyFont="1" applyFill="1" applyBorder="1" applyAlignment="1">
      <alignment horizontal="left" vertical="center"/>
    </xf>
    <xf numFmtId="0" fontId="78" fillId="0" borderId="0" xfId="30" applyFont="1" applyFill="1" applyBorder="1" applyAlignment="1">
      <alignment vertical="center"/>
    </xf>
    <xf numFmtId="0" fontId="1" fillId="0" borderId="0" xfId="30" applyFill="1" applyBorder="1" applyAlignment="1">
      <alignment vertical="center"/>
    </xf>
    <xf numFmtId="0" fontId="50" fillId="0" borderId="0" xfId="30" applyFont="1" applyFill="1" applyBorder="1" applyAlignment="1">
      <alignment horizontal="left" vertical="top" wrapText="1" indent="2"/>
    </xf>
    <xf numFmtId="0" fontId="50" fillId="0" borderId="0" xfId="30" applyFont="1" applyFill="1" applyBorder="1" applyAlignment="1">
      <alignment horizontal="left" vertical="center" indent="2"/>
    </xf>
    <xf numFmtId="0" fontId="50" fillId="0" borderId="0" xfId="30" applyFont="1" applyAlignment="1">
      <alignment horizontal="left" vertical="top" indent="2"/>
    </xf>
    <xf numFmtId="0" fontId="78" fillId="0" borderId="11" xfId="30" applyFont="1" applyFill="1" applyBorder="1" applyAlignment="1">
      <alignment vertical="center"/>
    </xf>
    <xf numFmtId="0" fontId="50" fillId="0" borderId="11" xfId="30" applyFont="1" applyFill="1" applyBorder="1" applyAlignment="1">
      <alignment vertical="center"/>
    </xf>
    <xf numFmtId="0" fontId="50" fillId="0" borderId="0" xfId="29" applyFont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0" applyFont="1"/>
    <xf numFmtId="0" fontId="4" fillId="0" borderId="0" xfId="26" applyFont="1" applyAlignment="1">
      <alignment vertical="center"/>
    </xf>
    <xf numFmtId="0" fontId="80" fillId="4" borderId="52" xfId="26" applyFont="1" applyFill="1" applyBorder="1" applyAlignment="1">
      <alignment horizontal="center" vertical="center"/>
    </xf>
    <xf numFmtId="38" fontId="80" fillId="4" borderId="52" xfId="26" applyNumberFormat="1" applyFont="1" applyFill="1" applyBorder="1" applyAlignment="1">
      <alignment horizontal="center" vertical="center"/>
    </xf>
    <xf numFmtId="0" fontId="48" fillId="0" borderId="53" xfId="26" applyFont="1" applyBorder="1" applyAlignment="1">
      <alignment horizontal="center" vertical="center"/>
    </xf>
    <xf numFmtId="0" fontId="48" fillId="0" borderId="53" xfId="26" applyFont="1" applyBorder="1" applyAlignment="1">
      <alignment vertical="center"/>
    </xf>
    <xf numFmtId="41" fontId="48" fillId="0" borderId="53" xfId="13" applyFont="1" applyBorder="1" applyAlignment="1">
      <alignment horizontal="center" vertical="center"/>
    </xf>
    <xf numFmtId="41" fontId="48" fillId="0" borderId="53" xfId="13" applyFont="1" applyBorder="1" applyAlignment="1">
      <alignment vertical="center"/>
    </xf>
    <xf numFmtId="0" fontId="82" fillId="0" borderId="0" xfId="26" applyFont="1" applyAlignment="1">
      <alignment vertical="center"/>
    </xf>
    <xf numFmtId="0" fontId="48" fillId="0" borderId="54" xfId="26" applyFont="1" applyBorder="1" applyAlignment="1">
      <alignment horizontal="center" vertical="center"/>
    </xf>
    <xf numFmtId="41" fontId="48" fillId="0" borderId="55" xfId="12" applyFont="1" applyBorder="1" applyAlignment="1">
      <alignment vertical="center"/>
    </xf>
    <xf numFmtId="0" fontId="48" fillId="0" borderId="54" xfId="27" applyFont="1" applyBorder="1" applyAlignment="1">
      <alignment horizontal="center" vertical="center"/>
    </xf>
    <xf numFmtId="41" fontId="48" fillId="0" borderId="54" xfId="12" applyFont="1" applyBorder="1" applyAlignment="1">
      <alignment horizontal="center" vertical="center"/>
    </xf>
    <xf numFmtId="41" fontId="48" fillId="0" borderId="54" xfId="27" applyNumberFormat="1" applyFont="1" applyBorder="1" applyAlignment="1">
      <alignment horizontal="center" vertical="center"/>
    </xf>
    <xf numFmtId="41" fontId="48" fillId="0" borderId="54" xfId="13" applyFont="1" applyBorder="1" applyAlignment="1">
      <alignment vertical="center"/>
    </xf>
    <xf numFmtId="41" fontId="3" fillId="0" borderId="54" xfId="13" applyFont="1" applyBorder="1" applyAlignment="1">
      <alignment vertical="center"/>
    </xf>
    <xf numFmtId="0" fontId="48" fillId="0" borderId="54" xfId="26" applyFont="1" applyBorder="1" applyAlignment="1">
      <alignment vertical="center"/>
    </xf>
    <xf numFmtId="178" fontId="48" fillId="0" borderId="54" xfId="13" applyNumberFormat="1" applyFont="1" applyBorder="1" applyAlignment="1">
      <alignment vertical="center"/>
    </xf>
    <xf numFmtId="208" fontId="48" fillId="0" borderId="54" xfId="13" applyNumberFormat="1" applyFont="1" applyBorder="1" applyAlignment="1">
      <alignment horizontal="center" vertical="center"/>
    </xf>
    <xf numFmtId="0" fontId="48" fillId="0" borderId="54" xfId="26" applyFont="1" applyBorder="1" applyAlignment="1">
      <alignment horizontal="right" vertical="center"/>
    </xf>
    <xf numFmtId="207" fontId="48" fillId="0" borderId="54" xfId="13" applyNumberFormat="1" applyFont="1" applyBorder="1" applyAlignment="1">
      <alignment horizontal="center" vertical="center"/>
    </xf>
    <xf numFmtId="0" fontId="48" fillId="0" borderId="56" xfId="26" applyFont="1" applyBorder="1" applyAlignment="1">
      <alignment vertical="center"/>
    </xf>
    <xf numFmtId="0" fontId="48" fillId="0" borderId="56" xfId="26" applyFont="1" applyBorder="1" applyAlignment="1">
      <alignment horizontal="center" vertical="center"/>
    </xf>
    <xf numFmtId="41" fontId="48" fillId="0" borderId="56" xfId="13" applyFont="1" applyBorder="1" applyAlignment="1">
      <alignment horizontal="center" vertical="center"/>
    </xf>
    <xf numFmtId="0" fontId="48" fillId="0" borderId="56" xfId="27" applyFont="1" applyBorder="1" applyAlignment="1">
      <alignment horizontal="center" vertical="center"/>
    </xf>
    <xf numFmtId="41" fontId="48" fillId="0" borderId="56" xfId="13" applyFont="1" applyBorder="1" applyAlignment="1">
      <alignment vertical="center"/>
    </xf>
    <xf numFmtId="0" fontId="51" fillId="0" borderId="0" xfId="0" applyFont="1" applyBorder="1"/>
    <xf numFmtId="0" fontId="87" fillId="0" borderId="57" xfId="0" applyFont="1" applyBorder="1" applyAlignment="1">
      <alignment horizontal="center" vertical="center"/>
    </xf>
    <xf numFmtId="49" fontId="87" fillId="0" borderId="52" xfId="0" applyNumberFormat="1" applyFont="1" applyBorder="1" applyAlignment="1">
      <alignment horizontal="center" vertical="center"/>
    </xf>
    <xf numFmtId="0" fontId="87" fillId="0" borderId="52" xfId="0" applyFont="1" applyBorder="1" applyAlignment="1">
      <alignment horizontal="center" vertical="center"/>
    </xf>
    <xf numFmtId="41" fontId="87" fillId="0" borderId="52" xfId="12" applyFont="1" applyBorder="1" applyAlignment="1">
      <alignment vertical="center"/>
    </xf>
    <xf numFmtId="0" fontId="87" fillId="0" borderId="58" xfId="0" applyFont="1" applyBorder="1" applyAlignment="1">
      <alignment vertical="center"/>
    </xf>
    <xf numFmtId="0" fontId="87" fillId="0" borderId="59" xfId="0" applyFont="1" applyBorder="1" applyAlignment="1">
      <alignment horizontal="center" vertical="center"/>
    </xf>
    <xf numFmtId="0" fontId="87" fillId="0" borderId="4" xfId="0" applyFont="1" applyBorder="1" applyAlignment="1">
      <alignment horizontal="center" vertical="center"/>
    </xf>
    <xf numFmtId="41" fontId="87" fillId="0" borderId="4" xfId="0" applyNumberFormat="1" applyFont="1" applyBorder="1" applyAlignment="1">
      <alignment horizontal="center" vertical="center"/>
    </xf>
    <xf numFmtId="212" fontId="87" fillId="0" borderId="4" xfId="12" applyNumberFormat="1" applyFont="1" applyBorder="1" applyAlignment="1">
      <alignment vertical="center"/>
    </xf>
    <xf numFmtId="0" fontId="87" fillId="0" borderId="60" xfId="0" applyFont="1" applyBorder="1" applyAlignment="1">
      <alignment horizontal="center" vertical="center"/>
    </xf>
    <xf numFmtId="41" fontId="87" fillId="0" borderId="4" xfId="12" applyNumberFormat="1" applyFont="1" applyBorder="1" applyAlignment="1">
      <alignment horizontal="center" vertical="center"/>
    </xf>
    <xf numFmtId="0" fontId="87" fillId="0" borderId="60" xfId="0" applyFont="1" applyBorder="1" applyAlignment="1">
      <alignment vertical="center"/>
    </xf>
    <xf numFmtId="209" fontId="87" fillId="0" borderId="4" xfId="12" applyNumberFormat="1" applyFont="1" applyBorder="1" applyAlignment="1">
      <alignment vertical="center"/>
    </xf>
    <xf numFmtId="206" fontId="87" fillId="0" borderId="4" xfId="0" applyNumberFormat="1" applyFont="1" applyBorder="1" applyAlignment="1">
      <alignment horizontal="center" vertical="center"/>
    </xf>
    <xf numFmtId="212" fontId="87" fillId="0" borderId="52" xfId="12" applyNumberFormat="1" applyFont="1" applyBorder="1" applyAlignment="1">
      <alignment vertical="center"/>
    </xf>
    <xf numFmtId="0" fontId="87" fillId="0" borderId="61" xfId="0" applyFont="1" applyBorder="1" applyAlignment="1">
      <alignment horizontal="center" vertical="center"/>
    </xf>
    <xf numFmtId="0" fontId="87" fillId="0" borderId="62" xfId="0" applyFont="1" applyBorder="1" applyAlignment="1">
      <alignment horizontal="center" vertical="center"/>
    </xf>
    <xf numFmtId="207" fontId="87" fillId="0" borderId="62" xfId="0" applyNumberFormat="1" applyFont="1" applyBorder="1" applyAlignment="1">
      <alignment horizontal="center" vertical="center"/>
    </xf>
    <xf numFmtId="41" fontId="87" fillId="0" borderId="62" xfId="12" applyFont="1" applyBorder="1" applyAlignment="1">
      <alignment vertical="center"/>
    </xf>
    <xf numFmtId="209" fontId="87" fillId="0" borderId="62" xfId="12" applyNumberFormat="1" applyFont="1" applyBorder="1" applyAlignment="1">
      <alignment vertical="center"/>
    </xf>
    <xf numFmtId="0" fontId="87" fillId="0" borderId="63" xfId="0" applyFont="1" applyBorder="1" applyAlignment="1">
      <alignment vertical="center"/>
    </xf>
    <xf numFmtId="0" fontId="90" fillId="0" borderId="59" xfId="0" applyFont="1" applyBorder="1" applyAlignment="1">
      <alignment horizontal="left" vertical="center"/>
    </xf>
    <xf numFmtId="0" fontId="87" fillId="0" borderId="64" xfId="0" applyFont="1" applyBorder="1" applyAlignment="1">
      <alignment horizontal="center" vertical="center"/>
    </xf>
    <xf numFmtId="208" fontId="87" fillId="0" borderId="4" xfId="12" applyNumberFormat="1" applyFont="1" applyBorder="1" applyAlignment="1">
      <alignment horizontal="center" vertical="center"/>
    </xf>
    <xf numFmtId="41" fontId="87" fillId="0" borderId="4" xfId="12" applyFont="1" applyBorder="1" applyAlignment="1">
      <alignment vertical="center"/>
    </xf>
    <xf numFmtId="207" fontId="87" fillId="0" borderId="4" xfId="12" applyNumberFormat="1" applyFont="1" applyBorder="1" applyAlignment="1">
      <alignment horizontal="center" vertical="center"/>
    </xf>
    <xf numFmtId="207" fontId="87" fillId="0" borderId="4" xfId="0" applyNumberFormat="1" applyFont="1" applyBorder="1" applyAlignment="1">
      <alignment horizontal="center" vertical="center"/>
    </xf>
    <xf numFmtId="208" fontId="87" fillId="0" borderId="4" xfId="0" applyNumberFormat="1" applyFont="1" applyBorder="1" applyAlignment="1">
      <alignment horizontal="center" vertical="center"/>
    </xf>
    <xf numFmtId="41" fontId="87" fillId="0" borderId="4" xfId="0" applyNumberFormat="1" applyFont="1" applyBorder="1" applyAlignment="1">
      <alignment horizontal="right" vertical="center"/>
    </xf>
    <xf numFmtId="0" fontId="87" fillId="0" borderId="65" xfId="0" applyFont="1" applyBorder="1" applyAlignment="1">
      <alignment horizontal="center" vertical="center"/>
    </xf>
    <xf numFmtId="0" fontId="87" fillId="0" borderId="66" xfId="0" applyFont="1" applyBorder="1" applyAlignment="1">
      <alignment horizontal="center" vertical="center"/>
    </xf>
    <xf numFmtId="41" fontId="87" fillId="0" borderId="66" xfId="0" applyNumberFormat="1" applyFont="1" applyBorder="1" applyAlignment="1">
      <alignment horizontal="right" vertical="center"/>
    </xf>
    <xf numFmtId="41" fontId="87" fillId="0" borderId="66" xfId="12" applyFont="1" applyBorder="1" applyAlignment="1">
      <alignment vertical="center"/>
    </xf>
    <xf numFmtId="212" fontId="87" fillId="0" borderId="66" xfId="12" applyNumberFormat="1" applyFont="1" applyBorder="1" applyAlignment="1">
      <alignment vertical="center"/>
    </xf>
    <xf numFmtId="0" fontId="87" fillId="0" borderId="67" xfId="0" applyFont="1" applyBorder="1" applyAlignment="1">
      <alignment vertical="center"/>
    </xf>
    <xf numFmtId="0" fontId="87" fillId="0" borderId="64" xfId="0" applyFont="1" applyBorder="1" applyAlignment="1">
      <alignment vertical="center"/>
    </xf>
    <xf numFmtId="41" fontId="87" fillId="0" borderId="4" xfId="12" applyNumberFormat="1" applyFont="1" applyBorder="1" applyAlignment="1">
      <alignment vertical="center"/>
    </xf>
    <xf numFmtId="207" fontId="87" fillId="0" borderId="66" xfId="0" applyNumberFormat="1" applyFont="1" applyBorder="1" applyAlignment="1">
      <alignment horizontal="center" vertical="center"/>
    </xf>
    <xf numFmtId="209" fontId="87" fillId="0" borderId="66" xfId="12" applyNumberFormat="1" applyFont="1" applyBorder="1" applyAlignment="1">
      <alignment vertical="center"/>
    </xf>
    <xf numFmtId="207" fontId="87" fillId="0" borderId="62" xfId="12" applyNumberFormat="1" applyFont="1" applyBorder="1" applyAlignment="1">
      <alignment horizontal="center" vertical="center"/>
    </xf>
    <xf numFmtId="207" fontId="87" fillId="0" borderId="52" xfId="12" applyNumberFormat="1" applyFont="1" applyBorder="1" applyAlignment="1">
      <alignment horizontal="center" vertical="center"/>
    </xf>
    <xf numFmtId="41" fontId="87" fillId="0" borderId="52" xfId="12" applyNumberFormat="1" applyFont="1" applyBorder="1" applyAlignment="1">
      <alignment vertical="center"/>
    </xf>
    <xf numFmtId="209" fontId="87" fillId="0" borderId="52" xfId="12" applyNumberFormat="1" applyFont="1" applyBorder="1" applyAlignment="1">
      <alignment vertical="center"/>
    </xf>
    <xf numFmtId="208" fontId="87" fillId="0" borderId="52" xfId="0" applyNumberFormat="1" applyFont="1" applyBorder="1" applyAlignment="1">
      <alignment horizontal="center" vertical="center"/>
    </xf>
    <xf numFmtId="41" fontId="87" fillId="0" borderId="62" xfId="0" applyNumberFormat="1" applyFont="1" applyBorder="1" applyAlignment="1">
      <alignment horizontal="right" vertical="center"/>
    </xf>
    <xf numFmtId="212" fontId="87" fillId="0" borderId="62" xfId="12" applyNumberFormat="1" applyFont="1" applyBorder="1" applyAlignment="1">
      <alignment vertical="center"/>
    </xf>
    <xf numFmtId="0" fontId="90" fillId="0" borderId="57" xfId="0" applyFont="1" applyBorder="1" applyAlignment="1">
      <alignment horizontal="center" vertical="center"/>
    </xf>
    <xf numFmtId="41" fontId="90" fillId="0" borderId="52" xfId="12" applyFont="1" applyBorder="1" applyAlignment="1">
      <alignment horizontal="center" vertical="center"/>
    </xf>
    <xf numFmtId="41" fontId="90" fillId="0" borderId="52" xfId="12" applyFont="1" applyBorder="1" applyAlignment="1">
      <alignment vertical="center"/>
    </xf>
    <xf numFmtId="0" fontId="90" fillId="0" borderId="52" xfId="0" applyFont="1" applyBorder="1" applyAlignment="1">
      <alignment horizontal="center" vertical="center"/>
    </xf>
    <xf numFmtId="41" fontId="90" fillId="0" borderId="52" xfId="0" applyNumberFormat="1" applyFont="1" applyBorder="1" applyAlignment="1">
      <alignment horizontal="center" vertical="center"/>
    </xf>
    <xf numFmtId="0" fontId="90" fillId="0" borderId="4" xfId="0" applyFont="1" applyBorder="1" applyAlignment="1">
      <alignment horizontal="center" vertical="center"/>
    </xf>
    <xf numFmtId="41" fontId="90" fillId="0" borderId="4" xfId="12" applyFont="1" applyBorder="1" applyAlignment="1">
      <alignment horizontal="center" vertical="center"/>
    </xf>
    <xf numFmtId="41" fontId="90" fillId="0" borderId="4" xfId="12" applyFont="1" applyBorder="1" applyAlignment="1">
      <alignment vertical="center"/>
    </xf>
    <xf numFmtId="0" fontId="90" fillId="0" borderId="0" xfId="0" applyFont="1" applyAlignment="1">
      <alignment horizontal="center" vertical="center"/>
    </xf>
    <xf numFmtId="0" fontId="93" fillId="0" borderId="68" xfId="0" applyFont="1" applyBorder="1" applyAlignment="1">
      <alignment vertical="center"/>
    </xf>
    <xf numFmtId="0" fontId="93" fillId="0" borderId="69" xfId="0" applyFont="1" applyBorder="1" applyAlignment="1">
      <alignment vertical="center"/>
    </xf>
    <xf numFmtId="0" fontId="93" fillId="0" borderId="69" xfId="0" applyFont="1" applyBorder="1" applyAlignment="1"/>
    <xf numFmtId="0" fontId="93" fillId="0" borderId="70" xfId="0" applyFont="1" applyBorder="1" applyAlignment="1"/>
    <xf numFmtId="0" fontId="93" fillId="0" borderId="48" xfId="0" applyFont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93" fillId="0" borderId="0" xfId="0" applyFont="1" applyBorder="1" applyAlignment="1"/>
    <xf numFmtId="0" fontId="93" fillId="0" borderId="71" xfId="0" applyFont="1" applyBorder="1" applyAlignment="1"/>
    <xf numFmtId="41" fontId="93" fillId="0" borderId="48" xfId="12" applyFont="1" applyBorder="1" applyAlignment="1">
      <alignment horizontal="center" vertical="center"/>
    </xf>
    <xf numFmtId="41" fontId="93" fillId="0" borderId="0" xfId="12" applyFont="1" applyBorder="1" applyAlignment="1">
      <alignment horizontal="center" vertical="center"/>
    </xf>
    <xf numFmtId="41" fontId="93" fillId="0" borderId="71" xfId="12" applyFont="1" applyBorder="1" applyAlignment="1">
      <alignment horizontal="center" vertical="center"/>
    </xf>
    <xf numFmtId="41" fontId="93" fillId="0" borderId="0" xfId="12" applyFont="1" applyBorder="1" applyAlignment="1">
      <alignment vertical="center"/>
    </xf>
    <xf numFmtId="206" fontId="93" fillId="0" borderId="0" xfId="12" applyNumberFormat="1" applyFont="1" applyBorder="1" applyAlignment="1">
      <alignment vertical="center"/>
    </xf>
    <xf numFmtId="41" fontId="93" fillId="0" borderId="71" xfId="12" applyFont="1" applyBorder="1" applyAlignment="1">
      <alignment vertical="center"/>
    </xf>
    <xf numFmtId="220" fontId="93" fillId="0" borderId="0" xfId="12" applyNumberFormat="1" applyFont="1" applyBorder="1" applyAlignment="1">
      <alignment vertical="center"/>
    </xf>
    <xf numFmtId="207" fontId="93" fillId="0" borderId="0" xfId="12" applyNumberFormat="1" applyFont="1" applyBorder="1" applyAlignment="1">
      <alignment horizontal="center" vertical="center"/>
    </xf>
    <xf numFmtId="218" fontId="93" fillId="0" borderId="0" xfId="12" applyNumberFormat="1" applyFont="1" applyBorder="1" applyAlignment="1">
      <alignment vertical="center"/>
    </xf>
    <xf numFmtId="41" fontId="93" fillId="0" borderId="48" xfId="12" applyFont="1" applyBorder="1" applyAlignment="1">
      <alignment horizontal="center" vertical="top"/>
    </xf>
    <xf numFmtId="207" fontId="93" fillId="0" borderId="0" xfId="12" applyNumberFormat="1" applyFont="1" applyBorder="1" applyAlignment="1">
      <alignment horizontal="right" vertical="center"/>
    </xf>
    <xf numFmtId="0" fontId="93" fillId="0" borderId="48" xfId="0" applyFont="1" applyBorder="1" applyAlignment="1"/>
    <xf numFmtId="41" fontId="93" fillId="0" borderId="48" xfId="12" applyFont="1" applyBorder="1" applyAlignment="1">
      <alignment horizontal="left" vertical="center"/>
    </xf>
    <xf numFmtId="41" fontId="93" fillId="0" borderId="0" xfId="12" applyFont="1" applyBorder="1" applyAlignment="1">
      <alignment horizontal="left" vertical="center"/>
    </xf>
    <xf numFmtId="206" fontId="93" fillId="0" borderId="0" xfId="12" applyNumberFormat="1" applyFont="1" applyAlignment="1">
      <alignment vertical="center"/>
    </xf>
    <xf numFmtId="0" fontId="93" fillId="0" borderId="71" xfId="0" applyFont="1" applyBorder="1" applyAlignment="1">
      <alignment vertical="center"/>
    </xf>
    <xf numFmtId="41" fontId="93" fillId="0" borderId="72" xfId="12" applyFont="1" applyBorder="1" applyAlignment="1">
      <alignment horizontal="center" vertical="center"/>
    </xf>
    <xf numFmtId="41" fontId="93" fillId="0" borderId="73" xfId="12" applyFont="1" applyBorder="1" applyAlignment="1">
      <alignment horizontal="center" vertical="center"/>
    </xf>
    <xf numFmtId="41" fontId="93" fillId="0" borderId="73" xfId="12" applyFont="1" applyBorder="1" applyAlignment="1">
      <alignment vertical="center"/>
    </xf>
    <xf numFmtId="206" fontId="93" fillId="0" borderId="73" xfId="12" applyNumberFormat="1" applyFont="1" applyBorder="1" applyAlignment="1">
      <alignment vertical="center"/>
    </xf>
    <xf numFmtId="41" fontId="93" fillId="0" borderId="74" xfId="12" applyFont="1" applyBorder="1" applyAlignment="1">
      <alignment vertical="center"/>
    </xf>
    <xf numFmtId="0" fontId="0" fillId="0" borderId="0" xfId="0" applyBorder="1" applyAlignment="1"/>
    <xf numFmtId="0" fontId="93" fillId="0" borderId="69" xfId="0" applyFont="1" applyBorder="1"/>
    <xf numFmtId="0" fontId="93" fillId="0" borderId="70" xfId="0" applyFont="1" applyBorder="1"/>
    <xf numFmtId="0" fontId="93" fillId="0" borderId="11" xfId="0" applyFont="1" applyBorder="1" applyAlignment="1">
      <alignment vertical="center"/>
    </xf>
    <xf numFmtId="0" fontId="93" fillId="0" borderId="11" xfId="0" applyFont="1" applyBorder="1"/>
    <xf numFmtId="41" fontId="93" fillId="0" borderId="61" xfId="12" applyFont="1" applyBorder="1" applyAlignment="1">
      <alignment horizontal="center" vertical="center"/>
    </xf>
    <xf numFmtId="41" fontId="93" fillId="0" borderId="62" xfId="12" applyFont="1" applyBorder="1" applyAlignment="1">
      <alignment horizontal="center" vertical="center"/>
    </xf>
    <xf numFmtId="41" fontId="93" fillId="0" borderId="58" xfId="12" applyFont="1" applyBorder="1" applyAlignment="1">
      <alignment horizontal="center" vertical="center"/>
    </xf>
    <xf numFmtId="41" fontId="93" fillId="0" borderId="75" xfId="12" applyFont="1" applyBorder="1" applyAlignment="1">
      <alignment horizontal="center" vertical="center"/>
    </xf>
    <xf numFmtId="41" fontId="93" fillId="0" borderId="76" xfId="12" applyFont="1" applyBorder="1" applyAlignment="1">
      <alignment horizontal="center" vertical="center"/>
    </xf>
    <xf numFmtId="206" fontId="93" fillId="0" borderId="76" xfId="12" applyNumberFormat="1" applyFont="1" applyBorder="1" applyAlignment="1">
      <alignment vertical="center"/>
    </xf>
    <xf numFmtId="207" fontId="93" fillId="0" borderId="76" xfId="12" applyNumberFormat="1" applyFont="1" applyBorder="1" applyAlignment="1">
      <alignment vertical="center"/>
    </xf>
    <xf numFmtId="206" fontId="93" fillId="0" borderId="77" xfId="12" applyNumberFormat="1" applyFont="1" applyBorder="1" applyAlignment="1">
      <alignment vertical="center"/>
    </xf>
    <xf numFmtId="41" fontId="93" fillId="0" borderId="78" xfId="12" applyFont="1" applyBorder="1" applyAlignment="1">
      <alignment vertical="center"/>
    </xf>
    <xf numFmtId="41" fontId="93" fillId="0" borderId="52" xfId="12" applyFont="1" applyBorder="1" applyAlignment="1">
      <alignment horizontal="center" vertical="center"/>
    </xf>
    <xf numFmtId="41" fontId="93" fillId="0" borderId="52" xfId="12" applyFont="1" applyBorder="1" applyAlignment="1">
      <alignment vertical="center"/>
    </xf>
    <xf numFmtId="206" fontId="93" fillId="0" borderId="52" xfId="12" applyNumberFormat="1" applyFont="1" applyBorder="1" applyAlignment="1">
      <alignment vertical="center"/>
    </xf>
    <xf numFmtId="41" fontId="93" fillId="0" borderId="58" xfId="12" applyFont="1" applyBorder="1" applyAlignment="1">
      <alignment vertical="center"/>
    </xf>
    <xf numFmtId="41" fontId="93" fillId="0" borderId="59" xfId="12" applyFont="1" applyBorder="1" applyAlignment="1">
      <alignment horizontal="center" vertical="center"/>
    </xf>
    <xf numFmtId="41" fontId="93" fillId="0" borderId="4" xfId="12" applyFont="1" applyBorder="1" applyAlignment="1">
      <alignment horizontal="center" vertical="center"/>
    </xf>
    <xf numFmtId="41" fontId="93" fillId="0" borderId="4" xfId="12" applyFont="1" applyBorder="1" applyAlignment="1">
      <alignment vertical="center"/>
    </xf>
    <xf numFmtId="206" fontId="93" fillId="0" borderId="4" xfId="12" applyNumberFormat="1" applyFont="1" applyBorder="1" applyAlignment="1">
      <alignment vertical="center"/>
    </xf>
    <xf numFmtId="41" fontId="93" fillId="0" borderId="60" xfId="12" applyFont="1" applyBorder="1" applyAlignment="1">
      <alignment vertical="center"/>
    </xf>
    <xf numFmtId="41" fontId="93" fillId="0" borderId="79" xfId="12" applyFont="1" applyBorder="1" applyAlignment="1">
      <alignment horizontal="center" vertical="center"/>
    </xf>
    <xf numFmtId="41" fontId="93" fillId="0" borderId="66" xfId="12" applyFont="1" applyBorder="1" applyAlignment="1">
      <alignment horizontal="center" vertical="center"/>
    </xf>
    <xf numFmtId="41" fontId="93" fillId="0" borderId="77" xfId="12" applyNumberFormat="1" applyFont="1" applyBorder="1" applyAlignment="1">
      <alignment vertical="center"/>
    </xf>
    <xf numFmtId="41" fontId="93" fillId="0" borderId="77" xfId="12" applyFont="1" applyBorder="1" applyAlignment="1">
      <alignment horizontal="center" vertical="center"/>
    </xf>
    <xf numFmtId="41" fontId="93" fillId="0" borderId="80" xfId="12" applyFont="1" applyBorder="1" applyAlignment="1">
      <alignment vertical="center"/>
    </xf>
    <xf numFmtId="41" fontId="93" fillId="0" borderId="77" xfId="12" applyFont="1" applyBorder="1" applyAlignment="1">
      <alignment vertical="center"/>
    </xf>
    <xf numFmtId="41" fontId="93" fillId="0" borderId="65" xfId="12" applyFont="1" applyBorder="1" applyAlignment="1">
      <alignment horizontal="center" vertical="center"/>
    </xf>
    <xf numFmtId="218" fontId="93" fillId="0" borderId="77" xfId="12" applyNumberFormat="1" applyFont="1" applyBorder="1" applyAlignment="1">
      <alignment vertical="center"/>
    </xf>
    <xf numFmtId="41" fontId="93" fillId="0" borderId="59" xfId="12" applyFont="1" applyBorder="1" applyAlignment="1">
      <alignment horizontal="center" vertical="top"/>
    </xf>
    <xf numFmtId="41" fontId="93" fillId="0" borderId="75" xfId="12" applyFont="1" applyBorder="1" applyAlignment="1">
      <alignment horizontal="center" vertical="top"/>
    </xf>
    <xf numFmtId="41" fontId="93" fillId="0" borderId="66" xfId="12" applyFont="1" applyBorder="1" applyAlignment="1">
      <alignment vertical="center"/>
    </xf>
    <xf numFmtId="206" fontId="93" fillId="0" borderId="66" xfId="12" applyNumberFormat="1" applyFont="1" applyBorder="1" applyAlignment="1">
      <alignment vertical="center"/>
    </xf>
    <xf numFmtId="41" fontId="93" fillId="0" borderId="67" xfId="12" applyFont="1" applyBorder="1" applyAlignment="1">
      <alignment vertical="center"/>
    </xf>
    <xf numFmtId="41" fontId="93" fillId="0" borderId="62" xfId="12" applyFont="1" applyBorder="1" applyAlignment="1">
      <alignment vertical="center"/>
    </xf>
    <xf numFmtId="206" fontId="93" fillId="0" borderId="62" xfId="12" applyNumberFormat="1" applyFont="1" applyBorder="1" applyAlignment="1">
      <alignment vertical="center"/>
    </xf>
    <xf numFmtId="41" fontId="93" fillId="0" borderId="63" xfId="12" applyFont="1" applyBorder="1" applyAlignment="1">
      <alignment vertical="center"/>
    </xf>
    <xf numFmtId="0" fontId="93" fillId="0" borderId="0" xfId="0" applyFont="1"/>
    <xf numFmtId="41" fontId="93" fillId="0" borderId="63" xfId="12" applyFont="1" applyBorder="1" applyAlignment="1">
      <alignment horizontal="center" vertical="center"/>
    </xf>
    <xf numFmtId="41" fontId="93" fillId="0" borderId="69" xfId="12" applyFont="1" applyBorder="1" applyAlignment="1">
      <alignment horizontal="center" vertical="center"/>
    </xf>
    <xf numFmtId="41" fontId="93" fillId="0" borderId="69" xfId="12" applyFont="1" applyBorder="1" applyAlignment="1">
      <alignment vertical="center"/>
    </xf>
    <xf numFmtId="206" fontId="93" fillId="0" borderId="69" xfId="12" applyNumberFormat="1" applyFont="1" applyBorder="1" applyAlignment="1">
      <alignment vertical="center"/>
    </xf>
    <xf numFmtId="0" fontId="93" fillId="0" borderId="70" xfId="0" applyFont="1" applyBorder="1" applyAlignment="1">
      <alignment vertical="center"/>
    </xf>
    <xf numFmtId="0" fontId="96" fillId="0" borderId="81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/>
    </xf>
    <xf numFmtId="0" fontId="96" fillId="0" borderId="83" xfId="0" applyFont="1" applyBorder="1" applyAlignment="1">
      <alignment horizontal="center" vertical="center"/>
    </xf>
    <xf numFmtId="0" fontId="96" fillId="0" borderId="59" xfId="0" applyFont="1" applyBorder="1" applyAlignment="1">
      <alignment horizontal="center" vertical="center"/>
    </xf>
    <xf numFmtId="0" fontId="96" fillId="0" borderId="52" xfId="0" applyFont="1" applyBorder="1" applyAlignment="1">
      <alignment horizontal="center" vertical="center"/>
    </xf>
    <xf numFmtId="41" fontId="96" fillId="0" borderId="52" xfId="12" applyFont="1" applyBorder="1" applyAlignment="1">
      <alignment vertical="center"/>
    </xf>
    <xf numFmtId="0" fontId="96" fillId="0" borderId="58" xfId="0" applyFont="1" applyBorder="1" applyAlignment="1">
      <alignment vertical="center"/>
    </xf>
    <xf numFmtId="0" fontId="96" fillId="0" borderId="64" xfId="0" applyFont="1" applyBorder="1" applyAlignment="1">
      <alignment horizontal="center" vertical="center"/>
    </xf>
    <xf numFmtId="0" fontId="96" fillId="0" borderId="4" xfId="0" applyFont="1" applyBorder="1" applyAlignment="1">
      <alignment horizontal="center" vertical="center"/>
    </xf>
    <xf numFmtId="41" fontId="96" fillId="0" borderId="4" xfId="12" applyFont="1" applyBorder="1" applyAlignment="1">
      <alignment vertical="center"/>
    </xf>
    <xf numFmtId="0" fontId="96" fillId="0" borderId="60" xfId="0" applyFont="1" applyBorder="1" applyAlignment="1">
      <alignment vertical="center"/>
    </xf>
    <xf numFmtId="0" fontId="96" fillId="0" borderId="61" xfId="0" applyFont="1" applyBorder="1" applyAlignment="1">
      <alignment horizontal="center" vertical="center"/>
    </xf>
    <xf numFmtId="0" fontId="96" fillId="0" borderId="62" xfId="0" applyFont="1" applyBorder="1" applyAlignment="1">
      <alignment horizontal="center" vertical="center"/>
    </xf>
    <xf numFmtId="41" fontId="96" fillId="0" borderId="62" xfId="12" applyFont="1" applyBorder="1" applyAlignment="1">
      <alignment vertical="center"/>
    </xf>
    <xf numFmtId="0" fontId="96" fillId="0" borderId="63" xfId="0" applyFont="1" applyBorder="1" applyAlignment="1">
      <alignment vertical="center"/>
    </xf>
    <xf numFmtId="0" fontId="90" fillId="8" borderId="59" xfId="0" applyFont="1" applyFill="1" applyBorder="1" applyAlignment="1">
      <alignment horizontal="left" vertical="center"/>
    </xf>
    <xf numFmtId="0" fontId="87" fillId="8" borderId="52" xfId="0" applyFont="1" applyFill="1" applyBorder="1" applyAlignment="1">
      <alignment horizontal="center" vertical="center"/>
    </xf>
    <xf numFmtId="0" fontId="1" fillId="0" borderId="0" xfId="0" applyFont="1"/>
    <xf numFmtId="0" fontId="98" fillId="0" borderId="0" xfId="0" applyFont="1" applyAlignment="1">
      <alignment horizontal="center" vertical="center"/>
    </xf>
    <xf numFmtId="0" fontId="99" fillId="7" borderId="84" xfId="0" applyFont="1" applyFill="1" applyBorder="1" applyAlignment="1">
      <alignment horizontal="center" vertical="center"/>
    </xf>
    <xf numFmtId="0" fontId="99" fillId="7" borderId="85" xfId="0" applyFont="1" applyFill="1" applyBorder="1" applyAlignment="1">
      <alignment horizontal="center" vertical="center"/>
    </xf>
    <xf numFmtId="0" fontId="99" fillId="7" borderId="86" xfId="0" applyFont="1" applyFill="1" applyBorder="1" applyAlignment="1">
      <alignment horizontal="center" vertical="center"/>
    </xf>
    <xf numFmtId="0" fontId="98" fillId="0" borderId="75" xfId="0" applyFont="1" applyFill="1" applyBorder="1" applyAlignment="1">
      <alignment horizontal="center" vertical="center"/>
    </xf>
    <xf numFmtId="0" fontId="98" fillId="0" borderId="8" xfId="0" applyFont="1" applyFill="1" applyBorder="1" applyAlignment="1">
      <alignment horizontal="center" vertical="center"/>
    </xf>
    <xf numFmtId="41" fontId="98" fillId="0" borderId="0" xfId="12" applyFont="1" applyFill="1" applyBorder="1" applyAlignment="1">
      <alignment horizontal="center" vertical="center"/>
    </xf>
    <xf numFmtId="0" fontId="98" fillId="0" borderId="0" xfId="0" applyFont="1" applyFill="1" applyBorder="1" applyAlignment="1">
      <alignment horizontal="center" vertical="center"/>
    </xf>
    <xf numFmtId="221" fontId="98" fillId="0" borderId="0" xfId="0" quotePrefix="1" applyNumberFormat="1" applyFont="1" applyFill="1" applyBorder="1" applyAlignment="1">
      <alignment horizontal="center" vertical="center"/>
    </xf>
    <xf numFmtId="41" fontId="98" fillId="0" borderId="9" xfId="12" applyFont="1" applyFill="1" applyBorder="1" applyAlignment="1">
      <alignment horizontal="center" vertical="center"/>
    </xf>
    <xf numFmtId="0" fontId="102" fillId="0" borderId="77" xfId="0" applyFont="1" applyFill="1" applyBorder="1" applyAlignment="1">
      <alignment horizontal="center" vertical="center"/>
    </xf>
    <xf numFmtId="41" fontId="102" fillId="0" borderId="77" xfId="0" applyNumberFormat="1" applyFont="1" applyFill="1" applyBorder="1" applyAlignment="1">
      <alignment horizontal="center" vertical="center"/>
    </xf>
    <xf numFmtId="0" fontId="98" fillId="0" borderId="87" xfId="0" quotePrefix="1" applyFont="1" applyFill="1" applyBorder="1" applyAlignment="1">
      <alignment horizontal="left" vertical="center"/>
    </xf>
    <xf numFmtId="0" fontId="98" fillId="0" borderId="0" xfId="0" applyFont="1" applyFill="1" applyAlignment="1">
      <alignment horizontal="center" vertical="center"/>
    </xf>
    <xf numFmtId="0" fontId="98" fillId="0" borderId="13" xfId="0" applyFont="1" applyFill="1" applyBorder="1" applyAlignment="1">
      <alignment horizontal="center" vertical="center"/>
    </xf>
    <xf numFmtId="41" fontId="98" fillId="0" borderId="88" xfId="12" applyFont="1" applyFill="1" applyBorder="1" applyAlignment="1">
      <alignment horizontal="center" vertical="center"/>
    </xf>
    <xf numFmtId="0" fontId="98" fillId="0" borderId="88" xfId="0" applyFont="1" applyFill="1" applyBorder="1" applyAlignment="1">
      <alignment horizontal="center" vertical="center"/>
    </xf>
    <xf numFmtId="221" fontId="98" fillId="0" borderId="88" xfId="0" quotePrefix="1" applyNumberFormat="1" applyFont="1" applyFill="1" applyBorder="1" applyAlignment="1">
      <alignment horizontal="center" vertical="center"/>
    </xf>
    <xf numFmtId="41" fontId="98" fillId="0" borderId="50" xfId="12" applyFont="1" applyFill="1" applyBorder="1" applyAlignment="1">
      <alignment horizontal="center" vertical="center"/>
    </xf>
    <xf numFmtId="0" fontId="102" fillId="0" borderId="55" xfId="0" applyFont="1" applyFill="1" applyBorder="1" applyAlignment="1">
      <alignment horizontal="center" vertical="center"/>
    </xf>
    <xf numFmtId="41" fontId="102" fillId="0" borderId="55" xfId="0" applyNumberFormat="1" applyFont="1" applyFill="1" applyBorder="1" applyAlignment="1">
      <alignment horizontal="center" vertical="center"/>
    </xf>
    <xf numFmtId="0" fontId="98" fillId="0" borderId="71" xfId="0" quotePrefix="1" applyFont="1" applyFill="1" applyBorder="1" applyAlignment="1">
      <alignment horizontal="left" vertical="center"/>
    </xf>
    <xf numFmtId="0" fontId="98" fillId="0" borderId="0" xfId="0" applyFont="1" applyFill="1" applyBorder="1" applyAlignment="1">
      <alignment horizontal="right" vertical="center"/>
    </xf>
    <xf numFmtId="219" fontId="98" fillId="0" borderId="0" xfId="12" applyNumberFormat="1" applyFont="1" applyFill="1" applyBorder="1" applyAlignment="1">
      <alignment horizontal="center" vertical="center"/>
    </xf>
    <xf numFmtId="0" fontId="98" fillId="0" borderId="71" xfId="0" applyFont="1" applyFill="1" applyBorder="1" applyAlignment="1">
      <alignment horizontal="left" vertical="center"/>
    </xf>
    <xf numFmtId="41" fontId="98" fillId="0" borderId="0" xfId="0" applyNumberFormat="1" applyFont="1" applyFill="1" applyBorder="1" applyAlignment="1">
      <alignment horizontal="center" vertical="center"/>
    </xf>
    <xf numFmtId="0" fontId="103" fillId="0" borderId="71" xfId="0" applyFont="1" applyFill="1" applyBorder="1" applyAlignment="1">
      <alignment horizontal="left" vertical="top"/>
    </xf>
    <xf numFmtId="0" fontId="98" fillId="0" borderId="80" xfId="0" quotePrefix="1" applyFont="1" applyFill="1" applyBorder="1" applyAlignment="1">
      <alignment horizontal="left" vertical="center"/>
    </xf>
    <xf numFmtId="208" fontId="98" fillId="0" borderId="9" xfId="12" applyNumberFormat="1" applyFont="1" applyFill="1" applyBorder="1" applyAlignment="1">
      <alignment horizontal="center" vertical="center"/>
    </xf>
    <xf numFmtId="0" fontId="98" fillId="0" borderId="80" xfId="0" applyFont="1" applyFill="1" applyBorder="1" applyAlignment="1">
      <alignment horizontal="left" vertical="center"/>
    </xf>
    <xf numFmtId="0" fontId="98" fillId="0" borderId="89" xfId="0" applyFont="1" applyFill="1" applyBorder="1" applyAlignment="1">
      <alignment horizontal="center" vertical="center"/>
    </xf>
    <xf numFmtId="0" fontId="98" fillId="0" borderId="45" xfId="0" applyFont="1" applyFill="1" applyBorder="1" applyAlignment="1">
      <alignment horizontal="center" vertical="center"/>
    </xf>
    <xf numFmtId="0" fontId="98" fillId="0" borderId="46" xfId="0" applyFont="1" applyFill="1" applyBorder="1" applyAlignment="1">
      <alignment horizontal="center" vertical="center"/>
    </xf>
    <xf numFmtId="41" fontId="98" fillId="0" borderId="46" xfId="0" applyNumberFormat="1" applyFont="1" applyFill="1" applyBorder="1" applyAlignment="1">
      <alignment horizontal="center" vertical="center"/>
    </xf>
    <xf numFmtId="208" fontId="98" fillId="0" borderId="46" xfId="0" applyNumberFormat="1" applyFont="1" applyFill="1" applyBorder="1" applyAlignment="1">
      <alignment horizontal="center" vertical="center"/>
    </xf>
    <xf numFmtId="41" fontId="98" fillId="0" borderId="47" xfId="12" applyNumberFormat="1" applyFont="1" applyFill="1" applyBorder="1" applyAlignment="1">
      <alignment horizontal="center" vertical="center"/>
    </xf>
    <xf numFmtId="0" fontId="102" fillId="0" borderId="53" xfId="0" applyFont="1" applyFill="1" applyBorder="1" applyAlignment="1">
      <alignment horizontal="center" vertical="center"/>
    </xf>
    <xf numFmtId="41" fontId="102" fillId="0" borderId="53" xfId="0" applyNumberFormat="1" applyFont="1" applyFill="1" applyBorder="1" applyAlignment="1">
      <alignment horizontal="center" vertical="center"/>
    </xf>
    <xf numFmtId="0" fontId="98" fillId="0" borderId="90" xfId="0" applyFont="1" applyFill="1" applyBorder="1" applyAlignment="1">
      <alignment horizontal="left" vertical="center"/>
    </xf>
    <xf numFmtId="41" fontId="98" fillId="0" borderId="0" xfId="12" applyFont="1" applyFill="1" applyAlignment="1">
      <alignment horizontal="center" vertical="center"/>
    </xf>
    <xf numFmtId="41" fontId="98" fillId="0" borderId="0" xfId="12" quotePrefix="1" applyFont="1" applyFill="1" applyBorder="1" applyAlignment="1">
      <alignment horizontal="center" vertical="center"/>
    </xf>
    <xf numFmtId="208" fontId="98" fillId="0" borderId="0" xfId="0" applyNumberFormat="1" applyFont="1" applyFill="1" applyBorder="1" applyAlignment="1">
      <alignment horizontal="center" vertical="center"/>
    </xf>
    <xf numFmtId="0" fontId="98" fillId="0" borderId="91" xfId="0" applyFont="1" applyFill="1" applyBorder="1" applyAlignment="1">
      <alignment horizontal="center" vertical="center" wrapText="1"/>
    </xf>
    <xf numFmtId="0" fontId="98" fillId="0" borderId="26" xfId="0" applyFont="1" applyFill="1" applyBorder="1" applyAlignment="1">
      <alignment horizontal="center" vertical="center"/>
    </xf>
    <xf numFmtId="41" fontId="98" fillId="0" borderId="25" xfId="12" applyFont="1" applyFill="1" applyBorder="1" applyAlignment="1">
      <alignment horizontal="center" vertical="center"/>
    </xf>
    <xf numFmtId="0" fontId="98" fillId="0" borderId="25" xfId="0" applyFont="1" applyFill="1" applyBorder="1" applyAlignment="1">
      <alignment horizontal="center" vertical="center"/>
    </xf>
    <xf numFmtId="41" fontId="98" fillId="0" borderId="25" xfId="12" quotePrefix="1" applyFont="1" applyFill="1" applyBorder="1" applyAlignment="1">
      <alignment horizontal="center" vertical="center"/>
    </xf>
    <xf numFmtId="221" fontId="98" fillId="0" borderId="25" xfId="0" quotePrefix="1" applyNumberFormat="1" applyFont="1" applyFill="1" applyBorder="1" applyAlignment="1">
      <alignment horizontal="center" vertical="center"/>
    </xf>
    <xf numFmtId="41" fontId="98" fillId="0" borderId="29" xfId="12" applyNumberFormat="1" applyFont="1" applyFill="1" applyBorder="1" applyAlignment="1">
      <alignment horizontal="center" vertical="center"/>
    </xf>
    <xf numFmtId="0" fontId="102" fillId="0" borderId="54" xfId="0" applyFont="1" applyFill="1" applyBorder="1" applyAlignment="1">
      <alignment horizontal="center" vertical="center"/>
    </xf>
    <xf numFmtId="41" fontId="102" fillId="0" borderId="54" xfId="0" applyNumberFormat="1" applyFont="1" applyFill="1" applyBorder="1" applyAlignment="1">
      <alignment horizontal="center" vertical="center"/>
    </xf>
    <xf numFmtId="0" fontId="98" fillId="0" borderId="92" xfId="0" quotePrefix="1" applyFont="1" applyFill="1" applyBorder="1" applyAlignment="1">
      <alignment horizontal="left" vertical="center"/>
    </xf>
    <xf numFmtId="41" fontId="98" fillId="0" borderId="9" xfId="12" applyNumberFormat="1" applyFont="1" applyFill="1" applyBorder="1" applyAlignment="1">
      <alignment horizontal="center" vertical="center"/>
    </xf>
    <xf numFmtId="41" fontId="98" fillId="0" borderId="88" xfId="12" quotePrefix="1" applyFont="1" applyFill="1" applyBorder="1" applyAlignment="1">
      <alignment horizontal="center" vertical="center"/>
    </xf>
    <xf numFmtId="0" fontId="98" fillId="0" borderId="93" xfId="0" quotePrefix="1" applyFont="1" applyFill="1" applyBorder="1" applyAlignment="1">
      <alignment horizontal="left" vertical="center"/>
    </xf>
    <xf numFmtId="41" fontId="98" fillId="0" borderId="47" xfId="12" applyFont="1" applyFill="1" applyBorder="1" applyAlignment="1">
      <alignment horizontal="center" vertical="center"/>
    </xf>
    <xf numFmtId="41" fontId="98" fillId="0" borderId="0" xfId="0" applyNumberFormat="1" applyFont="1" applyFill="1" applyAlignment="1">
      <alignment horizontal="center" vertical="center"/>
    </xf>
    <xf numFmtId="0" fontId="98" fillId="0" borderId="75" xfId="0" applyFont="1" applyBorder="1" applyAlignment="1">
      <alignment horizontal="center" vertical="center"/>
    </xf>
    <xf numFmtId="0" fontId="98" fillId="0" borderId="8" xfId="0" applyFont="1" applyBorder="1" applyAlignment="1">
      <alignment horizontal="center" vertical="center"/>
    </xf>
    <xf numFmtId="0" fontId="98" fillId="0" borderId="0" xfId="0" applyFont="1" applyBorder="1" applyAlignment="1">
      <alignment horizontal="center" vertical="center"/>
    </xf>
    <xf numFmtId="41" fontId="98" fillId="0" borderId="0" xfId="0" applyNumberFormat="1" applyFont="1" applyBorder="1" applyAlignment="1">
      <alignment horizontal="center" vertical="center"/>
    </xf>
    <xf numFmtId="208" fontId="98" fillId="0" borderId="0" xfId="0" applyNumberFormat="1" applyFont="1" applyBorder="1" applyAlignment="1">
      <alignment horizontal="center" vertical="center"/>
    </xf>
    <xf numFmtId="41" fontId="98" fillId="0" borderId="9" xfId="12" applyFont="1" applyBorder="1" applyAlignment="1">
      <alignment horizontal="center" vertical="center"/>
    </xf>
    <xf numFmtId="0" fontId="102" fillId="0" borderId="77" xfId="0" applyFont="1" applyBorder="1" applyAlignment="1">
      <alignment horizontal="center" vertical="center"/>
    </xf>
    <xf numFmtId="41" fontId="102" fillId="0" borderId="77" xfId="0" applyNumberFormat="1" applyFont="1" applyBorder="1" applyAlignment="1">
      <alignment horizontal="center" vertical="center"/>
    </xf>
    <xf numFmtId="0" fontId="98" fillId="0" borderId="71" xfId="0" quotePrefix="1" applyFont="1" applyBorder="1" applyAlignment="1">
      <alignment horizontal="left" vertical="center"/>
    </xf>
    <xf numFmtId="0" fontId="98" fillId="0" borderId="94" xfId="0" applyFont="1" applyBorder="1" applyAlignment="1">
      <alignment horizontal="center" vertical="center"/>
    </xf>
    <xf numFmtId="0" fontId="98" fillId="0" borderId="95" xfId="0" applyFont="1" applyBorder="1" applyAlignment="1">
      <alignment horizontal="center" vertical="center"/>
    </xf>
    <xf numFmtId="0" fontId="98" fillId="0" borderId="73" xfId="0" applyFont="1" applyBorder="1" applyAlignment="1">
      <alignment horizontal="center" vertical="center"/>
    </xf>
    <xf numFmtId="41" fontId="98" fillId="0" borderId="73" xfId="0" applyNumberFormat="1" applyFont="1" applyBorder="1" applyAlignment="1">
      <alignment horizontal="center" vertical="center"/>
    </xf>
    <xf numFmtId="208" fontId="98" fillId="0" borderId="73" xfId="0" applyNumberFormat="1" applyFont="1" applyBorder="1" applyAlignment="1">
      <alignment horizontal="center" vertical="center"/>
    </xf>
    <xf numFmtId="41" fontId="98" fillId="0" borderId="96" xfId="12" applyFont="1" applyBorder="1" applyAlignment="1">
      <alignment horizontal="center" vertical="center"/>
    </xf>
    <xf numFmtId="0" fontId="102" fillId="0" borderId="97" xfId="0" applyFont="1" applyBorder="1" applyAlignment="1">
      <alignment horizontal="center" vertical="center"/>
    </xf>
    <xf numFmtId="41" fontId="102" fillId="0" borderId="97" xfId="0" applyNumberFormat="1" applyFont="1" applyBorder="1" applyAlignment="1">
      <alignment horizontal="center" vertical="center"/>
    </xf>
    <xf numFmtId="0" fontId="98" fillId="0" borderId="74" xfId="0" quotePrefix="1" applyFont="1" applyBorder="1" applyAlignment="1">
      <alignment horizontal="left" vertical="center"/>
    </xf>
    <xf numFmtId="0" fontId="98" fillId="0" borderId="8" xfId="0" applyFont="1" applyBorder="1" applyAlignment="1">
      <alignment horizontal="left" vertical="center"/>
    </xf>
    <xf numFmtId="0" fontId="98" fillId="0" borderId="0" xfId="0" applyFont="1" applyBorder="1" applyAlignment="1">
      <alignment horizontal="left" vertical="center"/>
    </xf>
    <xf numFmtId="0" fontId="98" fillId="0" borderId="9" xfId="0" applyFont="1" applyBorder="1" applyAlignment="1">
      <alignment horizontal="left" vertical="center"/>
    </xf>
    <xf numFmtId="41" fontId="102" fillId="0" borderId="77" xfId="12" applyFont="1" applyBorder="1" applyAlignment="1">
      <alignment horizontal="center" vertical="center"/>
    </xf>
    <xf numFmtId="0" fontId="98" fillId="0" borderId="71" xfId="0" applyFont="1" applyBorder="1" applyAlignment="1">
      <alignment horizontal="left" vertical="center"/>
    </xf>
    <xf numFmtId="41" fontId="102" fillId="0" borderId="77" xfId="12" applyFont="1" applyFill="1" applyBorder="1" applyAlignment="1">
      <alignment horizontal="center" vertical="center"/>
    </xf>
    <xf numFmtId="41" fontId="98" fillId="0" borderId="88" xfId="0" applyNumberFormat="1" applyFont="1" applyFill="1" applyBorder="1" applyAlignment="1">
      <alignment horizontal="center" vertical="center"/>
    </xf>
    <xf numFmtId="41" fontId="102" fillId="0" borderId="55" xfId="12" applyFont="1" applyFill="1" applyBorder="1" applyAlignment="1">
      <alignment horizontal="center" vertical="center"/>
    </xf>
    <xf numFmtId="41" fontId="16" fillId="0" borderId="0" xfId="12" applyFont="1" applyFill="1" applyBorder="1" applyAlignment="1">
      <alignment horizontal="center" vertical="center"/>
    </xf>
    <xf numFmtId="41" fontId="3" fillId="0" borderId="0" xfId="12" applyFont="1" applyFill="1" applyBorder="1" applyAlignment="1">
      <alignment horizontal="center" vertical="center"/>
    </xf>
    <xf numFmtId="0" fontId="98" fillId="0" borderId="74" xfId="0" applyFont="1" applyBorder="1" applyAlignment="1">
      <alignment horizontal="left" vertical="center"/>
    </xf>
    <xf numFmtId="41" fontId="98" fillId="0" borderId="0" xfId="12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98" fillId="0" borderId="0" xfId="0" applyFont="1" applyAlignment="1">
      <alignment horizontal="left" vertical="center"/>
    </xf>
    <xf numFmtId="0" fontId="51" fillId="0" borderId="0" xfId="0" applyFont="1"/>
    <xf numFmtId="0" fontId="66" fillId="0" borderId="0" xfId="0" applyFont="1" applyAlignment="1">
      <alignment vertical="center"/>
    </xf>
    <xf numFmtId="0" fontId="87" fillId="0" borderId="8" xfId="0" applyFont="1" applyBorder="1" applyAlignment="1">
      <alignment horizontal="left" vertical="center"/>
    </xf>
    <xf numFmtId="0" fontId="66" fillId="0" borderId="0" xfId="0" applyFont="1" applyBorder="1" applyAlignment="1">
      <alignment horizontal="center" vertical="center"/>
    </xf>
    <xf numFmtId="0" fontId="66" fillId="0" borderId="8" xfId="0" applyFont="1" applyBorder="1" applyAlignment="1">
      <alignment horizontal="center" vertical="center"/>
    </xf>
    <xf numFmtId="0" fontId="66" fillId="0" borderId="8" xfId="0" applyFont="1" applyBorder="1" applyAlignment="1">
      <alignment vertical="center"/>
    </xf>
    <xf numFmtId="0" fontId="66" fillId="0" borderId="0" xfId="0" applyFont="1" applyBorder="1" applyAlignment="1">
      <alignment vertical="center"/>
    </xf>
    <xf numFmtId="0" fontId="66" fillId="0" borderId="8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/>
    </xf>
    <xf numFmtId="176" fontId="66" fillId="0" borderId="0" xfId="0" applyNumberFormat="1" applyFont="1" applyFill="1" applyBorder="1" applyAlignment="1">
      <alignment vertical="center"/>
    </xf>
    <xf numFmtId="0" fontId="66" fillId="0" borderId="0" xfId="0" applyFont="1" applyFill="1" applyBorder="1" applyAlignment="1">
      <alignment horizontal="center" vertical="center"/>
    </xf>
    <xf numFmtId="0" fontId="66" fillId="0" borderId="0" xfId="0" applyFont="1" applyBorder="1" applyAlignment="1">
      <alignment horizontal="right" vertical="center"/>
    </xf>
    <xf numFmtId="0" fontId="66" fillId="0" borderId="8" xfId="0" applyFont="1" applyBorder="1" applyAlignment="1">
      <alignment horizontal="right" vertical="center"/>
    </xf>
    <xf numFmtId="3" fontId="66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left" vertical="center"/>
    </xf>
    <xf numFmtId="0" fontId="66" fillId="0" borderId="18" xfId="0" applyFont="1" applyBorder="1" applyAlignment="1">
      <alignment vertical="center"/>
    </xf>
    <xf numFmtId="0" fontId="66" fillId="0" borderId="37" xfId="0" applyFont="1" applyBorder="1" applyAlignment="1">
      <alignment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51" fillId="0" borderId="0" xfId="0" applyFont="1" applyAlignment="1">
      <alignment vertical="center"/>
    </xf>
    <xf numFmtId="0" fontId="66" fillId="5" borderId="31" xfId="0" applyFont="1" applyFill="1" applyBorder="1" applyAlignment="1">
      <alignment horizontal="center" vertical="center"/>
    </xf>
    <xf numFmtId="0" fontId="66" fillId="5" borderId="20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6" fillId="0" borderId="21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66" fillId="0" borderId="22" xfId="0" applyFont="1" applyBorder="1" applyAlignment="1">
      <alignment vertical="center"/>
    </xf>
    <xf numFmtId="196" fontId="66" fillId="0" borderId="22" xfId="0" applyNumberFormat="1" applyFont="1" applyBorder="1" applyAlignment="1">
      <alignment vertical="center"/>
    </xf>
    <xf numFmtId="196" fontId="66" fillId="0" borderId="27" xfId="0" applyNumberFormat="1" applyFont="1" applyBorder="1" applyAlignment="1">
      <alignment vertical="center"/>
    </xf>
    <xf numFmtId="196" fontId="66" fillId="0" borderId="23" xfId="0" applyNumberFormat="1" applyFont="1" applyBorder="1" applyAlignment="1">
      <alignment vertical="center"/>
    </xf>
    <xf numFmtId="196" fontId="66" fillId="0" borderId="28" xfId="0" applyNumberFormat="1" applyFont="1" applyBorder="1" applyAlignment="1">
      <alignment vertical="center"/>
    </xf>
    <xf numFmtId="0" fontId="66" fillId="0" borderId="23" xfId="0" applyFont="1" applyBorder="1" applyAlignment="1">
      <alignment horizontal="center" vertical="center" wrapText="1"/>
    </xf>
    <xf numFmtId="0" fontId="107" fillId="0" borderId="0" xfId="0" applyFont="1" applyAlignment="1">
      <alignment vertical="center"/>
    </xf>
    <xf numFmtId="196" fontId="51" fillId="0" borderId="0" xfId="0" applyNumberFormat="1" applyFont="1" applyAlignment="1">
      <alignment vertical="center"/>
    </xf>
    <xf numFmtId="0" fontId="66" fillId="0" borderId="24" xfId="0" applyFont="1" applyFill="1" applyBorder="1" applyAlignment="1">
      <alignment horizontal="center" vertical="center"/>
    </xf>
    <xf numFmtId="0" fontId="71" fillId="0" borderId="24" xfId="0" applyFont="1" applyFill="1" applyBorder="1" applyAlignment="1">
      <alignment horizontal="center" vertical="center"/>
    </xf>
    <xf numFmtId="177" fontId="66" fillId="0" borderId="23" xfId="0" applyNumberFormat="1" applyFont="1" applyBorder="1" applyAlignment="1">
      <alignment vertical="center"/>
    </xf>
    <xf numFmtId="0" fontId="66" fillId="0" borderId="23" xfId="0" applyFont="1" applyBorder="1" applyAlignment="1">
      <alignment vertical="center"/>
    </xf>
    <xf numFmtId="0" fontId="71" fillId="0" borderId="23" xfId="0" applyFont="1" applyBorder="1" applyAlignment="1">
      <alignment horizontal="center" vertical="center"/>
    </xf>
    <xf numFmtId="0" fontId="66" fillId="0" borderId="26" xfId="0" applyFont="1" applyBorder="1" applyAlignment="1">
      <alignment vertical="center"/>
    </xf>
    <xf numFmtId="0" fontId="66" fillId="0" borderId="25" xfId="0" applyFont="1" applyBorder="1" applyAlignment="1">
      <alignment vertical="center"/>
    </xf>
    <xf numFmtId="0" fontId="66" fillId="0" borderId="25" xfId="0" applyFont="1" applyBorder="1" applyAlignment="1">
      <alignment horizontal="center" vertical="center"/>
    </xf>
    <xf numFmtId="0" fontId="66" fillId="0" borderId="29" xfId="0" applyFont="1" applyBorder="1" applyAlignment="1">
      <alignment vertical="center"/>
    </xf>
    <xf numFmtId="0" fontId="106" fillId="0" borderId="30" xfId="0" applyFont="1" applyBorder="1" applyAlignment="1">
      <alignment horizontal="center" vertical="center"/>
    </xf>
    <xf numFmtId="0" fontId="106" fillId="0" borderId="31" xfId="0" applyFont="1" applyBorder="1" applyAlignment="1">
      <alignment vertical="center"/>
    </xf>
    <xf numFmtId="0" fontId="106" fillId="0" borderId="31" xfId="0" applyFont="1" applyBorder="1" applyAlignment="1">
      <alignment horizontal="center" vertical="center"/>
    </xf>
    <xf numFmtId="196" fontId="106" fillId="0" borderId="31" xfId="0" applyNumberFormat="1" applyFont="1" applyBorder="1" applyAlignment="1">
      <alignment vertical="center"/>
    </xf>
    <xf numFmtId="196" fontId="106" fillId="0" borderId="20" xfId="0" applyNumberFormat="1" applyFont="1" applyBorder="1" applyAlignment="1">
      <alignment vertical="center"/>
    </xf>
    <xf numFmtId="0" fontId="52" fillId="0" borderId="0" xfId="0" applyFont="1" applyAlignment="1">
      <alignment vertical="center"/>
    </xf>
    <xf numFmtId="0" fontId="51" fillId="0" borderId="0" xfId="0" applyFont="1" applyAlignment="1">
      <alignment horizontal="center"/>
    </xf>
    <xf numFmtId="176" fontId="66" fillId="0" borderId="22" xfId="0" applyNumberFormat="1" applyFont="1" applyBorder="1" applyAlignment="1">
      <alignment vertical="center"/>
    </xf>
    <xf numFmtId="177" fontId="66" fillId="0" borderId="22" xfId="0" applyNumberFormat="1" applyFont="1" applyBorder="1" applyAlignment="1">
      <alignment vertical="center"/>
    </xf>
    <xf numFmtId="0" fontId="51" fillId="0" borderId="73" xfId="0" applyFont="1" applyBorder="1"/>
    <xf numFmtId="0" fontId="51" fillId="0" borderId="69" xfId="0" applyFont="1" applyBorder="1"/>
    <xf numFmtId="0" fontId="51" fillId="0" borderId="48" xfId="0" applyFont="1" applyBorder="1"/>
    <xf numFmtId="0" fontId="51" fillId="0" borderId="0" xfId="0" applyFont="1" applyFill="1"/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1" fillId="0" borderId="24" xfId="0" applyFont="1" applyFill="1" applyBorder="1" applyAlignment="1">
      <alignment horizontal="left" vertical="center"/>
    </xf>
    <xf numFmtId="0" fontId="66" fillId="0" borderId="23" xfId="0" applyFont="1" applyFill="1" applyBorder="1" applyAlignment="1">
      <alignment horizontal="center" vertical="center"/>
    </xf>
    <xf numFmtId="0" fontId="66" fillId="0" borderId="28" xfId="0" applyFont="1" applyFill="1" applyBorder="1" applyAlignment="1">
      <alignment horizontal="center" vertical="center"/>
    </xf>
    <xf numFmtId="0" fontId="66" fillId="0" borderId="0" xfId="0" applyFont="1" applyFill="1" applyAlignment="1">
      <alignment horizontal="center" vertical="center"/>
    </xf>
    <xf numFmtId="0" fontId="71" fillId="0" borderId="23" xfId="0" applyFont="1" applyFill="1" applyBorder="1" applyAlignment="1">
      <alignment horizontal="center" vertical="center"/>
    </xf>
    <xf numFmtId="0" fontId="106" fillId="0" borderId="24" xfId="0" applyFont="1" applyBorder="1" applyAlignment="1">
      <alignment horizontal="center" vertical="center"/>
    </xf>
    <xf numFmtId="0" fontId="106" fillId="0" borderId="23" xfId="0" applyFont="1" applyFill="1" applyBorder="1" applyAlignment="1">
      <alignment horizontal="center" vertical="center"/>
    </xf>
    <xf numFmtId="196" fontId="106" fillId="0" borderId="23" xfId="0" applyNumberFormat="1" applyFont="1" applyBorder="1" applyAlignment="1">
      <alignment vertical="center"/>
    </xf>
    <xf numFmtId="196" fontId="106" fillId="0" borderId="23" xfId="0" applyNumberFormat="1" applyFont="1" applyFill="1" applyBorder="1" applyAlignment="1">
      <alignment horizontal="center" vertical="center"/>
    </xf>
    <xf numFmtId="196" fontId="106" fillId="0" borderId="28" xfId="0" applyNumberFormat="1" applyFont="1" applyFill="1" applyBorder="1" applyAlignment="1">
      <alignment horizontal="center" vertical="center"/>
    </xf>
    <xf numFmtId="0" fontId="106" fillId="0" borderId="0" xfId="0" applyFont="1" applyFill="1" applyAlignment="1">
      <alignment horizontal="center" vertical="center"/>
    </xf>
    <xf numFmtId="0" fontId="71" fillId="0" borderId="23" xfId="0" applyFont="1" applyFill="1" applyBorder="1" applyAlignment="1">
      <alignment horizontal="left" vertical="center"/>
    </xf>
    <xf numFmtId="2" fontId="66" fillId="0" borderId="23" xfId="0" applyNumberFormat="1" applyFont="1" applyFill="1" applyBorder="1" applyAlignment="1">
      <alignment horizontal="center" vertical="center"/>
    </xf>
    <xf numFmtId="0" fontId="66" fillId="0" borderId="23" xfId="0" applyFont="1" applyFill="1" applyBorder="1" applyAlignment="1">
      <alignment horizontal="right" vertical="center"/>
    </xf>
    <xf numFmtId="177" fontId="66" fillId="0" borderId="23" xfId="0" applyNumberFormat="1" applyFont="1" applyFill="1" applyBorder="1" applyAlignment="1">
      <alignment horizontal="center" vertical="center"/>
    </xf>
    <xf numFmtId="0" fontId="106" fillId="0" borderId="28" xfId="0" applyFont="1" applyFill="1" applyBorder="1" applyAlignment="1">
      <alignment horizontal="center" vertical="center"/>
    </xf>
    <xf numFmtId="176" fontId="66" fillId="0" borderId="23" xfId="0" applyNumberFormat="1" applyFont="1" applyFill="1" applyBorder="1" applyAlignment="1">
      <alignment vertical="center"/>
    </xf>
    <xf numFmtId="0" fontId="107" fillId="0" borderId="0" xfId="0" applyFont="1" applyFill="1" applyAlignment="1">
      <alignment vertical="center"/>
    </xf>
    <xf numFmtId="196" fontId="51" fillId="0" borderId="0" xfId="0" applyNumberFormat="1" applyFont="1" applyFill="1" applyAlignment="1">
      <alignment vertical="center"/>
    </xf>
    <xf numFmtId="177" fontId="66" fillId="0" borderId="23" xfId="0" applyNumberFormat="1" applyFont="1" applyFill="1" applyBorder="1" applyAlignment="1">
      <alignment vertical="center"/>
    </xf>
    <xf numFmtId="0" fontId="106" fillId="0" borderId="23" xfId="0" applyFont="1" applyBorder="1" applyAlignment="1">
      <alignment horizontal="center" vertical="center"/>
    </xf>
    <xf numFmtId="0" fontId="106" fillId="0" borderId="23" xfId="0" applyFont="1" applyBorder="1" applyAlignment="1">
      <alignment vertical="center"/>
    </xf>
    <xf numFmtId="196" fontId="106" fillId="0" borderId="28" xfId="0" applyNumberFormat="1" applyFont="1" applyBorder="1" applyAlignment="1">
      <alignment vertical="center"/>
    </xf>
    <xf numFmtId="0" fontId="52" fillId="0" borderId="0" xfId="0" applyFont="1" applyFill="1" applyAlignment="1">
      <alignment vertical="center"/>
    </xf>
    <xf numFmtId="0" fontId="66" fillId="0" borderId="24" xfId="0" applyFont="1" applyBorder="1" applyAlignment="1">
      <alignment vertical="center"/>
    </xf>
    <xf numFmtId="0" fontId="66" fillId="0" borderId="28" xfId="0" applyFont="1" applyBorder="1" applyAlignment="1">
      <alignment vertical="center"/>
    </xf>
    <xf numFmtId="176" fontId="66" fillId="0" borderId="23" xfId="0" applyNumberFormat="1" applyFont="1" applyBorder="1" applyAlignment="1">
      <alignment vertical="center"/>
    </xf>
    <xf numFmtId="196" fontId="51" fillId="0" borderId="0" xfId="0" applyNumberFormat="1" applyFont="1" applyFill="1" applyAlignment="1">
      <alignment horizontal="center" vertical="center"/>
    </xf>
    <xf numFmtId="0" fontId="107" fillId="0" borderId="0" xfId="0" applyFont="1" applyFill="1" applyAlignment="1">
      <alignment horizontal="center" vertical="center"/>
    </xf>
    <xf numFmtId="9" fontId="107" fillId="0" borderId="0" xfId="0" applyNumberFormat="1" applyFont="1" applyFill="1" applyAlignment="1">
      <alignment horizontal="center" vertical="center"/>
    </xf>
    <xf numFmtId="9" fontId="51" fillId="0" borderId="0" xfId="0" applyNumberFormat="1" applyFont="1" applyFill="1" applyAlignment="1">
      <alignment horizontal="center" vertical="center"/>
    </xf>
    <xf numFmtId="0" fontId="51" fillId="0" borderId="0" xfId="35" applyFont="1"/>
    <xf numFmtId="0" fontId="106" fillId="0" borderId="0" xfId="35" applyFont="1" applyAlignment="1">
      <alignment vertical="center"/>
    </xf>
    <xf numFmtId="0" fontId="106" fillId="0" borderId="0" xfId="35" applyFont="1" applyAlignment="1">
      <alignment horizontal="center" vertical="center"/>
    </xf>
    <xf numFmtId="0" fontId="52" fillId="0" borderId="0" xfId="35" applyFont="1" applyAlignment="1">
      <alignment horizontal="right" vertical="center"/>
    </xf>
    <xf numFmtId="0" fontId="51" fillId="0" borderId="0" xfId="35" applyFont="1" applyAlignment="1">
      <alignment vertical="center"/>
    </xf>
    <xf numFmtId="0" fontId="66" fillId="5" borderId="31" xfId="35" applyFont="1" applyFill="1" applyBorder="1" applyAlignment="1">
      <alignment horizontal="center" vertical="center"/>
    </xf>
    <xf numFmtId="0" fontId="66" fillId="5" borderId="20" xfId="35" applyFont="1" applyFill="1" applyBorder="1" applyAlignment="1">
      <alignment horizontal="center" vertical="center"/>
    </xf>
    <xf numFmtId="0" fontId="51" fillId="0" borderId="0" xfId="35" applyFont="1" applyAlignment="1">
      <alignment horizontal="center" vertical="center"/>
    </xf>
    <xf numFmtId="0" fontId="51" fillId="0" borderId="34" xfId="35" applyFont="1" applyFill="1" applyBorder="1" applyAlignment="1">
      <alignment horizontal="left" vertical="center"/>
    </xf>
    <xf numFmtId="0" fontId="66" fillId="0" borderId="35" xfId="35" applyFont="1" applyFill="1" applyBorder="1" applyAlignment="1">
      <alignment horizontal="center" vertical="center"/>
    </xf>
    <xf numFmtId="0" fontId="66" fillId="0" borderId="36" xfId="35" applyFont="1" applyFill="1" applyBorder="1" applyAlignment="1">
      <alignment horizontal="center" vertical="center"/>
    </xf>
    <xf numFmtId="0" fontId="51" fillId="0" borderId="0" xfId="35" applyFont="1" applyFill="1" applyAlignment="1">
      <alignment horizontal="center" vertical="center"/>
    </xf>
    <xf numFmtId="0" fontId="66" fillId="0" borderId="24" xfId="35" applyFont="1" applyFill="1" applyBorder="1" applyAlignment="1">
      <alignment horizontal="left" vertical="center"/>
    </xf>
    <xf numFmtId="0" fontId="66" fillId="0" borderId="23" xfId="35" applyFont="1" applyFill="1" applyBorder="1" applyAlignment="1">
      <alignment horizontal="center" vertical="center"/>
    </xf>
    <xf numFmtId="2" fontId="66" fillId="0" borderId="23" xfId="35" applyNumberFormat="1" applyFont="1" applyFill="1" applyBorder="1" applyAlignment="1">
      <alignment horizontal="center" vertical="center"/>
    </xf>
    <xf numFmtId="196" fontId="66" fillId="0" borderId="23" xfId="35" applyNumberFormat="1" applyFont="1" applyBorder="1" applyAlignment="1">
      <alignment vertical="center"/>
    </xf>
    <xf numFmtId="0" fontId="66" fillId="0" borderId="28" xfId="35" applyFont="1" applyFill="1" applyBorder="1" applyAlignment="1">
      <alignment horizontal="center" vertical="center"/>
    </xf>
    <xf numFmtId="0" fontId="66" fillId="0" borderId="0" xfId="35" applyFont="1" applyFill="1" applyAlignment="1">
      <alignment horizontal="center" vertical="center"/>
    </xf>
    <xf numFmtId="177" fontId="66" fillId="0" borderId="23" xfId="35" applyNumberFormat="1" applyFont="1" applyFill="1" applyBorder="1" applyAlignment="1">
      <alignment horizontal="center" vertical="center"/>
    </xf>
    <xf numFmtId="196" fontId="66" fillId="0" borderId="28" xfId="35" applyNumberFormat="1" applyFont="1" applyBorder="1" applyAlignment="1">
      <alignment vertical="center"/>
    </xf>
    <xf numFmtId="0" fontId="106" fillId="0" borderId="24" xfId="35" applyFont="1" applyBorder="1" applyAlignment="1">
      <alignment horizontal="center" vertical="center"/>
    </xf>
    <xf numFmtId="0" fontId="106" fillId="0" borderId="23" xfId="35" applyFont="1" applyFill="1" applyBorder="1" applyAlignment="1">
      <alignment horizontal="center" vertical="center"/>
    </xf>
    <xf numFmtId="196" fontId="106" fillId="0" borderId="23" xfId="35" applyNumberFormat="1" applyFont="1" applyFill="1" applyBorder="1" applyAlignment="1">
      <alignment horizontal="center" vertical="center"/>
    </xf>
    <xf numFmtId="0" fontId="106" fillId="0" borderId="28" xfId="35" applyFont="1" applyFill="1" applyBorder="1" applyAlignment="1">
      <alignment horizontal="center" vertical="center"/>
    </xf>
    <xf numFmtId="0" fontId="106" fillId="0" borderId="0" xfId="35" applyFont="1" applyFill="1" applyAlignment="1">
      <alignment horizontal="center" vertical="center"/>
    </xf>
    <xf numFmtId="0" fontId="51" fillId="0" borderId="24" xfId="35" applyFont="1" applyFill="1" applyBorder="1" applyAlignment="1">
      <alignment horizontal="left" vertical="center"/>
    </xf>
    <xf numFmtId="0" fontId="66" fillId="0" borderId="24" xfId="35" applyFont="1" applyBorder="1" applyAlignment="1">
      <alignment horizontal="center" vertical="center"/>
    </xf>
    <xf numFmtId="0" fontId="66" fillId="0" borderId="23" xfId="35" applyFont="1" applyBorder="1" applyAlignment="1">
      <alignment horizontal="center" vertical="center"/>
    </xf>
    <xf numFmtId="176" fontId="66" fillId="0" borderId="23" xfId="35" applyNumberFormat="1" applyFont="1" applyBorder="1" applyAlignment="1">
      <alignment vertical="center"/>
    </xf>
    <xf numFmtId="0" fontId="66" fillId="0" borderId="21" xfId="35" applyFont="1" applyBorder="1" applyAlignment="1">
      <alignment horizontal="center" vertical="center"/>
    </xf>
    <xf numFmtId="0" fontId="66" fillId="0" borderId="23" xfId="35" applyFont="1" applyBorder="1" applyAlignment="1">
      <alignment horizontal="center" vertical="center" wrapText="1"/>
    </xf>
    <xf numFmtId="0" fontId="107" fillId="0" borderId="0" xfId="35" applyFont="1" applyAlignment="1">
      <alignment vertical="center"/>
    </xf>
    <xf numFmtId="196" fontId="51" fillId="0" borderId="0" xfId="35" applyNumberFormat="1" applyFont="1" applyAlignment="1">
      <alignment vertical="center"/>
    </xf>
    <xf numFmtId="0" fontId="66" fillId="0" borderId="24" xfId="35" applyFont="1" applyFill="1" applyBorder="1" applyAlignment="1">
      <alignment horizontal="center" vertical="center"/>
    </xf>
    <xf numFmtId="177" fontId="66" fillId="0" borderId="23" xfId="35" applyNumberFormat="1" applyFont="1" applyBorder="1" applyAlignment="1">
      <alignment vertical="center"/>
    </xf>
    <xf numFmtId="0" fontId="71" fillId="0" borderId="24" xfId="35" applyFont="1" applyFill="1" applyBorder="1" applyAlignment="1">
      <alignment horizontal="center" vertical="center"/>
    </xf>
    <xf numFmtId="0" fontId="106" fillId="0" borderId="23" xfId="35" applyFont="1" applyBorder="1" applyAlignment="1">
      <alignment horizontal="center" vertical="center"/>
    </xf>
    <xf numFmtId="0" fontId="106" fillId="0" borderId="23" xfId="35" applyFont="1" applyBorder="1" applyAlignment="1">
      <alignment vertical="center"/>
    </xf>
    <xf numFmtId="196" fontId="106" fillId="0" borderId="23" xfId="35" applyNumberFormat="1" applyFont="1" applyBorder="1" applyAlignment="1">
      <alignment vertical="center"/>
    </xf>
    <xf numFmtId="196" fontId="106" fillId="0" borderId="28" xfId="35" applyNumberFormat="1" applyFont="1" applyBorder="1" applyAlignment="1">
      <alignment vertical="center"/>
    </xf>
    <xf numFmtId="0" fontId="52" fillId="0" borderId="0" xfId="35" applyFont="1" applyAlignment="1">
      <alignment vertical="center"/>
    </xf>
    <xf numFmtId="0" fontId="66" fillId="0" borderId="26" xfId="35" applyFont="1" applyBorder="1" applyAlignment="1">
      <alignment vertical="center"/>
    </xf>
    <xf numFmtId="0" fontId="66" fillId="0" borderId="25" xfId="35" applyFont="1" applyBorder="1" applyAlignment="1">
      <alignment vertical="center"/>
    </xf>
    <xf numFmtId="0" fontId="66" fillId="0" borderId="25" xfId="35" applyFont="1" applyBorder="1" applyAlignment="1">
      <alignment horizontal="center" vertical="center"/>
    </xf>
    <xf numFmtId="0" fontId="66" fillId="0" borderId="29" xfId="35" applyFont="1" applyBorder="1" applyAlignment="1">
      <alignment vertical="center"/>
    </xf>
    <xf numFmtId="0" fontId="106" fillId="0" borderId="30" xfId="35" applyFont="1" applyBorder="1" applyAlignment="1">
      <alignment horizontal="center" vertical="center"/>
    </xf>
    <xf numFmtId="0" fontId="106" fillId="0" borderId="31" xfId="35" applyFont="1" applyBorder="1" applyAlignment="1">
      <alignment vertical="center"/>
    </xf>
    <xf numFmtId="0" fontId="106" fillId="0" borderId="31" xfId="35" applyFont="1" applyBorder="1" applyAlignment="1">
      <alignment horizontal="center" vertical="center"/>
    </xf>
    <xf numFmtId="196" fontId="106" fillId="0" borderId="31" xfId="35" applyNumberFormat="1" applyFont="1" applyBorder="1" applyAlignment="1">
      <alignment vertical="center"/>
    </xf>
    <xf numFmtId="196" fontId="106" fillId="0" borderId="20" xfId="35" applyNumberFormat="1" applyFont="1" applyBorder="1" applyAlignment="1">
      <alignment vertical="center"/>
    </xf>
    <xf numFmtId="0" fontId="51" fillId="0" borderId="0" xfId="35" applyFont="1" applyAlignment="1">
      <alignment horizontal="center"/>
    </xf>
    <xf numFmtId="41" fontId="108" fillId="0" borderId="36" xfId="37" applyNumberFormat="1" applyFont="1" applyFill="1" applyBorder="1" applyAlignment="1">
      <alignment horizontal="center" vertical="center"/>
    </xf>
    <xf numFmtId="0" fontId="51" fillId="0" borderId="0" xfId="37" applyFont="1" applyBorder="1" applyAlignment="1">
      <alignment vertical="center"/>
    </xf>
    <xf numFmtId="0" fontId="51" fillId="0" borderId="0" xfId="37" applyFont="1" applyAlignment="1">
      <alignment vertical="center"/>
    </xf>
    <xf numFmtId="41" fontId="108" fillId="0" borderId="23" xfId="37" applyNumberFormat="1" applyFont="1" applyFill="1" applyBorder="1" applyAlignment="1">
      <alignment horizontal="center" vertical="center"/>
    </xf>
    <xf numFmtId="41" fontId="108" fillId="0" borderId="28" xfId="37" applyNumberFormat="1" applyFont="1" applyFill="1" applyBorder="1" applyAlignment="1">
      <alignment horizontal="center" vertical="center"/>
    </xf>
    <xf numFmtId="41" fontId="51" fillId="0" borderId="23" xfId="37" applyNumberFormat="1" applyFont="1" applyBorder="1" applyAlignment="1">
      <alignment vertical="center"/>
    </xf>
    <xf numFmtId="41" fontId="51" fillId="0" borderId="28" xfId="37" applyNumberFormat="1" applyFont="1" applyBorder="1" applyAlignment="1">
      <alignment vertical="center"/>
    </xf>
    <xf numFmtId="0" fontId="51" fillId="0" borderId="0" xfId="37" applyFont="1" applyBorder="1"/>
    <xf numFmtId="0" fontId="51" fillId="0" borderId="0" xfId="37" applyFont="1"/>
    <xf numFmtId="0" fontId="51" fillId="0" borderId="24" xfId="37" applyFont="1" applyBorder="1" applyAlignment="1">
      <alignment horizontal="center" vertical="center"/>
    </xf>
    <xf numFmtId="0" fontId="51" fillId="0" borderId="23" xfId="37" applyFont="1" applyBorder="1" applyAlignment="1">
      <alignment horizontal="center" vertical="center"/>
    </xf>
    <xf numFmtId="176" fontId="51" fillId="0" borderId="23" xfId="37" applyNumberFormat="1" applyFont="1" applyBorder="1" applyAlignment="1">
      <alignment vertical="center"/>
    </xf>
    <xf numFmtId="41" fontId="51" fillId="0" borderId="23" xfId="15" applyNumberFormat="1" applyFont="1" applyBorder="1" applyAlignment="1">
      <alignment vertical="center"/>
    </xf>
    <xf numFmtId="41" fontId="51" fillId="0" borderId="28" xfId="15" applyNumberFormat="1" applyFont="1" applyBorder="1" applyAlignment="1">
      <alignment vertical="center"/>
    </xf>
    <xf numFmtId="177" fontId="51" fillId="0" borderId="23" xfId="37" applyNumberFormat="1" applyFont="1" applyBorder="1" applyAlignment="1">
      <alignment vertical="center"/>
    </xf>
    <xf numFmtId="0" fontId="51" fillId="0" borderId="23" xfId="37" applyFont="1" applyBorder="1" applyAlignment="1">
      <alignment vertical="center"/>
    </xf>
    <xf numFmtId="0" fontId="51" fillId="0" borderId="30" xfId="37" applyFont="1" applyBorder="1" applyAlignment="1">
      <alignment horizontal="center" vertical="center"/>
    </xf>
    <xf numFmtId="0" fontId="51" fillId="0" borderId="31" xfId="37" applyFont="1" applyBorder="1" applyAlignment="1">
      <alignment horizontal="center" vertical="center"/>
    </xf>
    <xf numFmtId="0" fontId="51" fillId="0" borderId="31" xfId="37" applyFont="1" applyBorder="1" applyAlignment="1">
      <alignment vertical="center"/>
    </xf>
    <xf numFmtId="41" fontId="51" fillId="0" borderId="31" xfId="37" applyNumberFormat="1" applyFont="1" applyBorder="1" applyAlignment="1">
      <alignment vertical="center"/>
    </xf>
    <xf numFmtId="41" fontId="51" fillId="0" borderId="20" xfId="37" applyNumberFormat="1" applyFont="1" applyBorder="1" applyAlignment="1">
      <alignment vertical="center"/>
    </xf>
    <xf numFmtId="41" fontId="51" fillId="0" borderId="35" xfId="37" applyNumberFormat="1" applyFont="1" applyBorder="1" applyAlignment="1">
      <alignment vertical="center"/>
    </xf>
    <xf numFmtId="41" fontId="51" fillId="0" borderId="36" xfId="37" applyNumberFormat="1" applyFont="1" applyBorder="1" applyAlignment="1">
      <alignment vertical="center"/>
    </xf>
    <xf numFmtId="210" fontId="51" fillId="0" borderId="23" xfId="15" applyNumberFormat="1" applyFont="1" applyBorder="1" applyAlignment="1">
      <alignment vertical="center"/>
    </xf>
    <xf numFmtId="211" fontId="51" fillId="0" borderId="23" xfId="15" applyNumberFormat="1" applyFont="1" applyBorder="1" applyAlignment="1">
      <alignment vertical="center"/>
    </xf>
    <xf numFmtId="178" fontId="51" fillId="0" borderId="23" xfId="15" applyNumberFormat="1" applyFont="1" applyBorder="1" applyAlignment="1">
      <alignment vertical="center"/>
    </xf>
    <xf numFmtId="185" fontId="51" fillId="0" borderId="24" xfId="37" applyNumberFormat="1" applyFont="1" applyBorder="1" applyAlignment="1">
      <alignment horizontal="center" vertical="center"/>
    </xf>
    <xf numFmtId="178" fontId="51" fillId="0" borderId="23" xfId="15" applyNumberFormat="1" applyFont="1" applyBorder="1" applyAlignment="1">
      <alignment horizontal="right" vertical="center"/>
    </xf>
    <xf numFmtId="178" fontId="51" fillId="0" borderId="23" xfId="15" applyFont="1" applyBorder="1" applyAlignment="1">
      <alignment vertical="center"/>
    </xf>
    <xf numFmtId="178" fontId="51" fillId="0" borderId="31" xfId="15" applyFont="1" applyBorder="1" applyAlignment="1">
      <alignment vertical="center"/>
    </xf>
    <xf numFmtId="10" fontId="51" fillId="0" borderId="23" xfId="10" applyNumberFormat="1" applyFont="1" applyBorder="1" applyAlignment="1">
      <alignment vertical="center"/>
    </xf>
    <xf numFmtId="207" fontId="51" fillId="0" borderId="31" xfId="37" applyNumberFormat="1" applyFont="1" applyBorder="1" applyAlignment="1">
      <alignment vertical="center"/>
    </xf>
    <xf numFmtId="214" fontId="51" fillId="0" borderId="23" xfId="10" applyNumberFormat="1" applyFont="1" applyBorder="1" applyAlignment="1">
      <alignment vertical="center"/>
    </xf>
    <xf numFmtId="0" fontId="51" fillId="0" borderId="0" xfId="37" applyFont="1" applyAlignment="1"/>
    <xf numFmtId="178" fontId="51" fillId="0" borderId="0" xfId="15" applyFont="1"/>
    <xf numFmtId="0" fontId="51" fillId="0" borderId="0" xfId="37" applyFont="1" applyAlignment="1">
      <alignment horizontal="center"/>
    </xf>
    <xf numFmtId="41" fontId="51" fillId="0" borderId="0" xfId="37" applyNumberFormat="1" applyFont="1"/>
    <xf numFmtId="0" fontId="66" fillId="0" borderId="41" xfId="0" applyFont="1" applyBorder="1" applyAlignment="1">
      <alignment vertical="center"/>
    </xf>
    <xf numFmtId="0" fontId="66" fillId="0" borderId="42" xfId="0" applyFont="1" applyBorder="1" applyAlignment="1">
      <alignment horizontal="center" vertical="center"/>
    </xf>
    <xf numFmtId="0" fontId="66" fillId="0" borderId="24" xfId="0" applyFont="1" applyFill="1" applyBorder="1" applyAlignment="1">
      <alignment horizontal="left" vertical="center"/>
    </xf>
    <xf numFmtId="176" fontId="66" fillId="0" borderId="23" xfId="0" applyNumberFormat="1" applyFont="1" applyFill="1" applyBorder="1" applyAlignment="1">
      <alignment horizontal="center" vertical="center"/>
    </xf>
    <xf numFmtId="196" fontId="66" fillId="0" borderId="23" xfId="0" applyNumberFormat="1" applyFont="1" applyFill="1" applyBorder="1" applyAlignment="1">
      <alignment horizontal="center" vertical="center"/>
    </xf>
    <xf numFmtId="0" fontId="66" fillId="0" borderId="24" xfId="0" applyFont="1" applyBorder="1" applyAlignment="1">
      <alignment horizontal="left" vertical="center"/>
    </xf>
    <xf numFmtId="196" fontId="110" fillId="0" borderId="23" xfId="0" applyNumberFormat="1" applyFont="1" applyBorder="1" applyAlignment="1">
      <alignment vertical="center"/>
    </xf>
    <xf numFmtId="2" fontId="66" fillId="0" borderId="23" xfId="0" applyNumberFormat="1" applyFont="1" applyBorder="1" applyAlignment="1">
      <alignment vertical="center"/>
    </xf>
    <xf numFmtId="0" fontId="106" fillId="0" borderId="26" xfId="0" applyFont="1" applyBorder="1" applyAlignment="1">
      <alignment horizontal="center" vertical="center"/>
    </xf>
    <xf numFmtId="0" fontId="52" fillId="0" borderId="23" xfId="0" applyFont="1" applyBorder="1" applyAlignment="1">
      <alignment vertical="center"/>
    </xf>
    <xf numFmtId="196" fontId="106" fillId="0" borderId="29" xfId="0" applyNumberFormat="1" applyFont="1" applyBorder="1" applyAlignment="1">
      <alignment vertical="center"/>
    </xf>
    <xf numFmtId="0" fontId="51" fillId="0" borderId="23" xfId="0" applyFont="1" applyBorder="1" applyAlignment="1">
      <alignment vertical="center"/>
    </xf>
    <xf numFmtId="0" fontId="111" fillId="0" borderId="0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51" fillId="0" borderId="0" xfId="0" applyFont="1" applyBorder="1" applyAlignment="1">
      <alignment horizontal="left" vertical="center"/>
    </xf>
    <xf numFmtId="0" fontId="70" fillId="0" borderId="0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41" fontId="70" fillId="2" borderId="62" xfId="12" applyFont="1" applyFill="1" applyBorder="1" applyAlignment="1">
      <alignment horizontal="center" vertical="center"/>
    </xf>
    <xf numFmtId="41" fontId="98" fillId="0" borderId="98" xfId="12" applyFont="1" applyFill="1" applyBorder="1" applyAlignment="1">
      <alignment horizontal="left" vertical="center"/>
    </xf>
    <xf numFmtId="0" fontId="71" fillId="0" borderId="99" xfId="0" applyFont="1" applyFill="1" applyBorder="1" applyAlignment="1">
      <alignment horizontal="left" vertical="center"/>
    </xf>
    <xf numFmtId="0" fontId="71" fillId="0" borderId="99" xfId="0" applyFont="1" applyFill="1" applyBorder="1" applyAlignment="1">
      <alignment horizontal="center" vertical="center"/>
    </xf>
    <xf numFmtId="208" fontId="98" fillId="0" borderId="99" xfId="12" applyNumberFormat="1" applyFont="1" applyFill="1" applyBorder="1" applyAlignment="1">
      <alignment vertical="center"/>
    </xf>
    <xf numFmtId="41" fontId="98" fillId="0" borderId="99" xfId="12" applyFont="1" applyFill="1" applyBorder="1" applyAlignment="1">
      <alignment horizontal="center" vertical="center"/>
    </xf>
    <xf numFmtId="41" fontId="71" fillId="0" borderId="87" xfId="12" applyFont="1" applyFill="1" applyBorder="1" applyAlignment="1">
      <alignment horizontal="center" vertical="center"/>
    </xf>
    <xf numFmtId="0" fontId="71" fillId="0" borderId="0" xfId="0" applyFont="1" applyFill="1" applyAlignment="1">
      <alignment horizontal="center" vertical="center"/>
    </xf>
    <xf numFmtId="41" fontId="98" fillId="0" borderId="91" xfId="12" applyFont="1" applyFill="1" applyBorder="1" applyAlignment="1">
      <alignment horizontal="left" vertical="center"/>
    </xf>
    <xf numFmtId="0" fontId="98" fillId="0" borderId="29" xfId="0" applyFont="1" applyFill="1" applyBorder="1" applyAlignment="1">
      <alignment horizontal="left" vertical="center"/>
    </xf>
    <xf numFmtId="0" fontId="98" fillId="0" borderId="29" xfId="0" applyFont="1" applyFill="1" applyBorder="1" applyAlignment="1">
      <alignment horizontal="center" vertical="center"/>
    </xf>
    <xf numFmtId="208" fontId="98" fillId="0" borderId="29" xfId="12" applyNumberFormat="1" applyFont="1" applyFill="1" applyBorder="1" applyAlignment="1">
      <alignment vertical="center"/>
    </xf>
    <xf numFmtId="41" fontId="98" fillId="0" borderId="29" xfId="12" applyFont="1" applyFill="1" applyBorder="1" applyAlignment="1">
      <alignment horizontal="center" vertical="center"/>
    </xf>
    <xf numFmtId="206" fontId="98" fillId="0" borderId="29" xfId="12" applyNumberFormat="1" applyFont="1" applyFill="1" applyBorder="1" applyAlignment="1">
      <alignment horizontal="center" vertical="center"/>
    </xf>
    <xf numFmtId="41" fontId="98" fillId="0" borderId="87" xfId="12" applyFont="1" applyFill="1" applyBorder="1" applyAlignment="1">
      <alignment horizontal="center" vertical="center"/>
    </xf>
    <xf numFmtId="41" fontId="98" fillId="0" borderId="91" xfId="12" applyFont="1" applyFill="1" applyBorder="1" applyAlignment="1">
      <alignment vertical="center"/>
    </xf>
    <xf numFmtId="208" fontId="98" fillId="0" borderId="29" xfId="12" applyNumberFormat="1" applyFont="1" applyFill="1" applyBorder="1" applyAlignment="1">
      <alignment horizontal="right" vertical="center"/>
    </xf>
    <xf numFmtId="41" fontId="98" fillId="0" borderId="92" xfId="12" applyFont="1" applyFill="1" applyBorder="1" applyAlignment="1">
      <alignment horizontal="center" vertical="center"/>
    </xf>
    <xf numFmtId="41" fontId="112" fillId="0" borderId="91" xfId="12" applyFont="1" applyFill="1" applyBorder="1" applyAlignment="1">
      <alignment horizontal="left" vertical="center"/>
    </xf>
    <xf numFmtId="0" fontId="71" fillId="0" borderId="29" xfId="0" applyFont="1" applyFill="1" applyBorder="1" applyAlignment="1">
      <alignment horizontal="left" vertical="center"/>
    </xf>
    <xf numFmtId="0" fontId="71" fillId="0" borderId="29" xfId="0" applyFont="1" applyFill="1" applyBorder="1" applyAlignment="1">
      <alignment horizontal="center" vertical="center"/>
    </xf>
    <xf numFmtId="41" fontId="102" fillId="0" borderId="29" xfId="12" applyNumberFormat="1" applyFont="1" applyFill="1" applyBorder="1" applyAlignment="1">
      <alignment horizontal="center" vertical="center"/>
    </xf>
    <xf numFmtId="41" fontId="102" fillId="0" borderId="29" xfId="12" applyFont="1" applyFill="1" applyBorder="1" applyAlignment="1">
      <alignment horizontal="center" vertical="center"/>
    </xf>
    <xf numFmtId="41" fontId="71" fillId="0" borderId="92" xfId="12" applyFont="1" applyFill="1" applyBorder="1" applyAlignment="1">
      <alignment horizontal="center" vertical="center"/>
    </xf>
    <xf numFmtId="41" fontId="71" fillId="0" borderId="0" xfId="0" applyNumberFormat="1" applyFont="1" applyFill="1" applyAlignment="1">
      <alignment horizontal="center" vertical="center"/>
    </xf>
    <xf numFmtId="0" fontId="113" fillId="0" borderId="29" xfId="0" applyFont="1" applyFill="1" applyBorder="1" applyAlignment="1">
      <alignment horizontal="left" vertical="center"/>
    </xf>
    <xf numFmtId="0" fontId="113" fillId="0" borderId="29" xfId="0" applyFont="1" applyFill="1" applyBorder="1" applyAlignment="1">
      <alignment horizontal="center" vertical="center"/>
    </xf>
    <xf numFmtId="208" fontId="114" fillId="0" borderId="29" xfId="12" applyNumberFormat="1" applyFont="1" applyFill="1" applyBorder="1" applyAlignment="1">
      <alignment horizontal="right" vertical="center"/>
    </xf>
    <xf numFmtId="41" fontId="114" fillId="0" borderId="29" xfId="12" applyFont="1" applyFill="1" applyBorder="1" applyAlignment="1">
      <alignment horizontal="center" vertical="center"/>
    </xf>
    <xf numFmtId="41" fontId="113" fillId="0" borderId="92" xfId="12" applyFont="1" applyFill="1" applyBorder="1" applyAlignment="1">
      <alignment horizontal="center" vertical="center"/>
    </xf>
    <xf numFmtId="0" fontId="113" fillId="0" borderId="0" xfId="0" applyFont="1" applyFill="1" applyAlignment="1">
      <alignment horizontal="center" vertical="center"/>
    </xf>
    <xf numFmtId="206" fontId="98" fillId="0" borderId="29" xfId="12" applyNumberFormat="1" applyFont="1" applyFill="1" applyBorder="1" applyAlignment="1">
      <alignment horizontal="right" vertical="center"/>
    </xf>
    <xf numFmtId="207" fontId="98" fillId="0" borderId="29" xfId="12" applyNumberFormat="1" applyFont="1" applyFill="1" applyBorder="1" applyAlignment="1">
      <alignment horizontal="right" vertical="center"/>
    </xf>
    <xf numFmtId="0" fontId="71" fillId="0" borderId="29" xfId="0" applyFont="1" applyFill="1" applyBorder="1" applyAlignment="1">
      <alignment horizontal="right" vertical="center"/>
    </xf>
    <xf numFmtId="41" fontId="98" fillId="0" borderId="89" xfId="12" applyFont="1" applyFill="1" applyBorder="1" applyAlignment="1">
      <alignment horizontal="left" vertical="center"/>
    </xf>
    <xf numFmtId="0" fontId="98" fillId="0" borderId="47" xfId="0" applyFont="1" applyFill="1" applyBorder="1" applyAlignment="1">
      <alignment horizontal="center" vertical="center"/>
    </xf>
    <xf numFmtId="41" fontId="98" fillId="0" borderId="47" xfId="12" applyNumberFormat="1" applyFont="1" applyFill="1" applyBorder="1" applyAlignment="1">
      <alignment vertical="center"/>
    </xf>
    <xf numFmtId="206" fontId="98" fillId="0" borderId="47" xfId="12" applyNumberFormat="1" applyFont="1" applyFill="1" applyBorder="1" applyAlignment="1">
      <alignment horizontal="center" vertical="center"/>
    </xf>
    <xf numFmtId="41" fontId="98" fillId="0" borderId="29" xfId="12" applyNumberFormat="1" applyFont="1" applyFill="1" applyBorder="1" applyAlignment="1">
      <alignment horizontal="right" vertical="center"/>
    </xf>
    <xf numFmtId="41" fontId="98" fillId="0" borderId="100" xfId="12" applyFont="1" applyBorder="1" applyAlignment="1">
      <alignment horizontal="left" vertical="center"/>
    </xf>
    <xf numFmtId="0" fontId="98" fillId="0" borderId="49" xfId="0" applyFont="1" applyBorder="1" applyAlignment="1">
      <alignment horizontal="left" vertical="center"/>
    </xf>
    <xf numFmtId="0" fontId="98" fillId="0" borderId="49" xfId="0" applyFont="1" applyBorder="1" applyAlignment="1">
      <alignment horizontal="center" vertical="center"/>
    </xf>
    <xf numFmtId="208" fontId="98" fillId="0" borderId="49" xfId="12" applyNumberFormat="1" applyFont="1" applyBorder="1" applyAlignment="1">
      <alignment horizontal="right" vertical="center"/>
    </xf>
    <xf numFmtId="41" fontId="98" fillId="0" borderId="49" xfId="12" applyFont="1" applyBorder="1" applyAlignment="1">
      <alignment horizontal="center" vertical="center"/>
    </xf>
    <xf numFmtId="206" fontId="98" fillId="0" borderId="56" xfId="12" applyNumberFormat="1" applyFont="1" applyFill="1" applyBorder="1" applyAlignment="1">
      <alignment horizontal="center" vertical="center"/>
    </xf>
    <xf numFmtId="41" fontId="98" fillId="0" borderId="56" xfId="12" applyFont="1" applyBorder="1" applyAlignment="1">
      <alignment horizontal="center" vertical="center"/>
    </xf>
    <xf numFmtId="41" fontId="98" fillId="0" borderId="101" xfId="12" applyFont="1" applyBorder="1" applyAlignment="1">
      <alignment horizontal="center" vertical="center"/>
    </xf>
    <xf numFmtId="0" fontId="70" fillId="0" borderId="94" xfId="0" applyFont="1" applyFill="1" applyBorder="1" applyAlignment="1">
      <alignment horizontal="center" vertical="center"/>
    </xf>
    <xf numFmtId="0" fontId="70" fillId="0" borderId="96" xfId="0" applyFont="1" applyFill="1" applyBorder="1" applyAlignment="1">
      <alignment horizontal="center" vertical="center"/>
    </xf>
    <xf numFmtId="0" fontId="70" fillId="0" borderId="96" xfId="0" applyFont="1" applyFill="1" applyBorder="1" applyAlignment="1">
      <alignment horizontal="right" vertical="center"/>
    </xf>
    <xf numFmtId="208" fontId="70" fillId="0" borderId="96" xfId="12" applyNumberFormat="1" applyFont="1" applyFill="1" applyBorder="1" applyAlignment="1">
      <alignment horizontal="right" vertical="center"/>
    </xf>
    <xf numFmtId="41" fontId="70" fillId="0" borderId="96" xfId="12" applyFont="1" applyFill="1" applyBorder="1" applyAlignment="1">
      <alignment horizontal="center" vertical="center"/>
    </xf>
    <xf numFmtId="41" fontId="70" fillId="0" borderId="96" xfId="12" applyFont="1" applyBorder="1" applyAlignment="1">
      <alignment horizontal="center" vertical="center"/>
    </xf>
    <xf numFmtId="41" fontId="70" fillId="0" borderId="74" xfId="12" applyFont="1" applyFill="1" applyBorder="1" applyAlignment="1">
      <alignment horizontal="center" vertical="center"/>
    </xf>
    <xf numFmtId="41" fontId="70" fillId="0" borderId="0" xfId="0" applyNumberFormat="1" applyFont="1" applyFill="1" applyAlignment="1">
      <alignment horizontal="center" vertical="center"/>
    </xf>
    <xf numFmtId="0" fontId="70" fillId="0" borderId="0" xfId="0" applyFont="1" applyFill="1" applyAlignment="1">
      <alignment horizontal="center" vertical="center"/>
    </xf>
    <xf numFmtId="0" fontId="71" fillId="0" borderId="0" xfId="0" applyFont="1" applyAlignment="1">
      <alignment horizontal="right" vertical="center"/>
    </xf>
    <xf numFmtId="41" fontId="71" fillId="0" borderId="0" xfId="12" applyFont="1" applyAlignment="1">
      <alignment horizontal="right" vertical="center"/>
    </xf>
    <xf numFmtId="41" fontId="71" fillId="0" borderId="0" xfId="12" applyFont="1" applyAlignment="1">
      <alignment horizontal="center" vertical="center"/>
    </xf>
    <xf numFmtId="41" fontId="70" fillId="2" borderId="4" xfId="12" applyFont="1" applyFill="1" applyBorder="1" applyAlignment="1">
      <alignment horizontal="center" vertical="center"/>
    </xf>
    <xf numFmtId="41" fontId="98" fillId="0" borderId="102" xfId="12" applyFont="1" applyFill="1" applyBorder="1" applyAlignment="1">
      <alignment horizontal="left" vertical="center"/>
    </xf>
    <xf numFmtId="0" fontId="71" fillId="0" borderId="40" xfId="0" applyFont="1" applyFill="1" applyBorder="1" applyAlignment="1">
      <alignment horizontal="left" vertical="center"/>
    </xf>
    <xf numFmtId="0" fontId="71" fillId="0" borderId="40" xfId="0" applyFont="1" applyFill="1" applyBorder="1" applyAlignment="1">
      <alignment horizontal="center" vertical="center"/>
    </xf>
    <xf numFmtId="208" fontId="98" fillId="0" borderId="40" xfId="12" applyNumberFormat="1" applyFont="1" applyFill="1" applyBorder="1" applyAlignment="1">
      <alignment vertical="center"/>
    </xf>
    <xf numFmtId="41" fontId="98" fillId="0" borderId="40" xfId="12" applyFont="1" applyFill="1" applyBorder="1" applyAlignment="1">
      <alignment horizontal="center" vertical="center"/>
    </xf>
    <xf numFmtId="41" fontId="71" fillId="0" borderId="103" xfId="12" applyFont="1" applyFill="1" applyBorder="1" applyAlignment="1">
      <alignment horizontal="center" vertical="center"/>
    </xf>
    <xf numFmtId="0" fontId="98" fillId="0" borderId="29" xfId="0" applyFont="1" applyFill="1" applyBorder="1" applyAlignment="1">
      <alignment horizontal="right" vertical="center"/>
    </xf>
    <xf numFmtId="41" fontId="98" fillId="0" borderId="91" xfId="12" applyFont="1" applyBorder="1" applyAlignment="1">
      <alignment horizontal="left" vertical="center"/>
    </xf>
    <xf numFmtId="0" fontId="98" fillId="0" borderId="29" xfId="0" applyFont="1" applyBorder="1" applyAlignment="1">
      <alignment horizontal="left" vertical="center"/>
    </xf>
    <xf numFmtId="0" fontId="98" fillId="0" borderId="29" xfId="0" applyFont="1" applyBorder="1" applyAlignment="1">
      <alignment horizontal="center" vertical="center"/>
    </xf>
    <xf numFmtId="208" fontId="98" fillId="0" borderId="29" xfId="12" applyNumberFormat="1" applyFont="1" applyBorder="1" applyAlignment="1">
      <alignment horizontal="right" vertical="center"/>
    </xf>
    <xf numFmtId="41" fontId="98" fillId="0" borderId="29" xfId="12" applyFont="1" applyBorder="1" applyAlignment="1">
      <alignment horizontal="center" vertical="center"/>
    </xf>
    <xf numFmtId="206" fontId="98" fillId="0" borderId="29" xfId="12" applyNumberFormat="1" applyFont="1" applyBorder="1" applyAlignment="1">
      <alignment horizontal="center" vertical="center"/>
    </xf>
    <xf numFmtId="41" fontId="71" fillId="0" borderId="92" xfId="12" applyFont="1" applyBorder="1" applyAlignment="1">
      <alignment horizontal="center" vertical="center"/>
    </xf>
    <xf numFmtId="206" fontId="98" fillId="0" borderId="49" xfId="12" applyNumberFormat="1" applyFont="1" applyBorder="1" applyAlignment="1">
      <alignment horizontal="center" vertical="center"/>
    </xf>
    <xf numFmtId="206" fontId="98" fillId="0" borderId="56" xfId="12" applyNumberFormat="1" applyFont="1" applyBorder="1" applyAlignment="1">
      <alignment horizontal="center" vertical="center"/>
    </xf>
    <xf numFmtId="41" fontId="71" fillId="0" borderId="101" xfId="12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41" fontId="52" fillId="2" borderId="62" xfId="12" applyFont="1" applyFill="1" applyBorder="1" applyAlignment="1">
      <alignment horizontal="center" vertical="center"/>
    </xf>
    <xf numFmtId="41" fontId="71" fillId="0" borderId="98" xfId="12" applyFont="1" applyBorder="1" applyAlignment="1">
      <alignment horizontal="left" vertical="center"/>
    </xf>
    <xf numFmtId="0" fontId="71" fillId="0" borderId="99" xfId="0" applyFont="1" applyBorder="1" applyAlignment="1">
      <alignment horizontal="center" vertical="center"/>
    </xf>
    <xf numFmtId="0" fontId="71" fillId="0" borderId="47" xfId="0" applyFont="1" applyBorder="1" applyAlignment="1">
      <alignment horizontal="center" vertical="center"/>
    </xf>
    <xf numFmtId="208" fontId="71" fillId="0" borderId="47" xfId="12" applyNumberFormat="1" applyFont="1" applyBorder="1" applyAlignment="1">
      <alignment vertical="center"/>
    </xf>
    <xf numFmtId="41" fontId="71" fillId="0" borderId="47" xfId="12" applyFont="1" applyBorder="1" applyAlignment="1">
      <alignment horizontal="center" vertical="center"/>
    </xf>
    <xf numFmtId="206" fontId="71" fillId="0" borderId="99" xfId="12" applyNumberFormat="1" applyFont="1" applyBorder="1" applyAlignment="1">
      <alignment horizontal="center" vertical="center"/>
    </xf>
    <xf numFmtId="41" fontId="71" fillId="0" borderId="99" xfId="12" applyFont="1" applyBorder="1" applyAlignment="1">
      <alignment horizontal="center" vertical="center"/>
    </xf>
    <xf numFmtId="206" fontId="71" fillId="0" borderId="104" xfId="12" applyNumberFormat="1" applyFont="1" applyBorder="1" applyAlignment="1">
      <alignment horizontal="center" vertical="center"/>
    </xf>
    <xf numFmtId="41" fontId="71" fillId="0" borderId="87" xfId="12" applyFont="1" applyBorder="1" applyAlignment="1">
      <alignment horizontal="center" vertical="center"/>
    </xf>
    <xf numFmtId="41" fontId="71" fillId="0" borderId="89" xfId="12" applyFont="1" applyBorder="1" applyAlignment="1">
      <alignment horizontal="left" vertical="center"/>
    </xf>
    <xf numFmtId="0" fontId="71" fillId="0" borderId="47" xfId="0" applyFont="1" applyFill="1" applyBorder="1" applyAlignment="1">
      <alignment horizontal="center" vertical="center"/>
    </xf>
    <xf numFmtId="41" fontId="71" fillId="0" borderId="47" xfId="12" applyNumberFormat="1" applyFont="1" applyFill="1" applyBorder="1" applyAlignment="1">
      <alignment vertical="center"/>
    </xf>
    <xf numFmtId="41" fontId="71" fillId="0" borderId="47" xfId="12" applyFont="1" applyFill="1" applyBorder="1" applyAlignment="1">
      <alignment horizontal="center" vertical="center"/>
    </xf>
    <xf numFmtId="206" fontId="71" fillId="0" borderId="47" xfId="12" applyNumberFormat="1" applyFont="1" applyFill="1" applyBorder="1" applyAlignment="1">
      <alignment horizontal="center" vertical="center"/>
    </xf>
    <xf numFmtId="206" fontId="71" fillId="0" borderId="28" xfId="12" applyNumberFormat="1" applyFont="1" applyFill="1" applyBorder="1" applyAlignment="1">
      <alignment horizontal="center" vertical="center"/>
    </xf>
    <xf numFmtId="41" fontId="71" fillId="0" borderId="91" xfId="12" applyFont="1" applyBorder="1" applyAlignment="1">
      <alignment horizontal="left" vertical="center"/>
    </xf>
    <xf numFmtId="41" fontId="71" fillId="0" borderId="29" xfId="12" applyNumberFormat="1" applyFont="1" applyFill="1" applyBorder="1" applyAlignment="1">
      <alignment horizontal="right" vertical="center"/>
    </xf>
    <xf numFmtId="41" fontId="71" fillId="0" borderId="29" xfId="12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208" fontId="71" fillId="0" borderId="29" xfId="12" applyNumberFormat="1" applyFont="1" applyFill="1" applyBorder="1" applyAlignment="1">
      <alignment horizontal="right" vertical="center"/>
    </xf>
    <xf numFmtId="206" fontId="71" fillId="0" borderId="29" xfId="12" applyNumberFormat="1" applyFont="1" applyFill="1" applyBorder="1" applyAlignment="1">
      <alignment horizontal="center" vertical="center"/>
    </xf>
    <xf numFmtId="0" fontId="71" fillId="0" borderId="54" xfId="0" applyFont="1" applyFill="1" applyBorder="1" applyAlignment="1">
      <alignment horizontal="center" vertical="center"/>
    </xf>
    <xf numFmtId="41" fontId="66" fillId="0" borderId="54" xfId="12" applyFont="1" applyFill="1" applyBorder="1" applyAlignment="1">
      <alignment horizontal="center" vertical="center"/>
    </xf>
    <xf numFmtId="206" fontId="66" fillId="0" borderId="29" xfId="12" applyNumberFormat="1" applyFont="1" applyFill="1" applyBorder="1" applyAlignment="1">
      <alignment horizontal="center" vertical="center"/>
    </xf>
    <xf numFmtId="41" fontId="66" fillId="0" borderId="29" xfId="12" applyFont="1" applyFill="1" applyBorder="1" applyAlignment="1">
      <alignment horizontal="center" vertical="center"/>
    </xf>
    <xf numFmtId="41" fontId="71" fillId="0" borderId="28" xfId="12" applyFont="1" applyFill="1" applyBorder="1" applyAlignment="1">
      <alignment horizontal="center" vertical="center"/>
    </xf>
    <xf numFmtId="0" fontId="71" fillId="0" borderId="91" xfId="0" applyFont="1" applyBorder="1" applyAlignment="1">
      <alignment horizontal="center" vertical="center"/>
    </xf>
    <xf numFmtId="41" fontId="71" fillId="0" borderId="29" xfId="12" applyNumberFormat="1" applyFont="1" applyFill="1" applyBorder="1" applyAlignment="1">
      <alignment horizontal="center" vertical="center"/>
    </xf>
    <xf numFmtId="0" fontId="70" fillId="0" borderId="91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1" fillId="0" borderId="29" xfId="0" applyFont="1" applyBorder="1" applyAlignment="1">
      <alignment horizontal="right" vertical="center"/>
    </xf>
    <xf numFmtId="41" fontId="71" fillId="0" borderId="29" xfId="12" applyNumberFormat="1" applyFont="1" applyBorder="1" applyAlignment="1">
      <alignment horizontal="right" vertical="center"/>
    </xf>
    <xf numFmtId="41" fontId="71" fillId="0" borderId="29" xfId="12" applyFont="1" applyBorder="1" applyAlignment="1">
      <alignment horizontal="center" vertical="center"/>
    </xf>
    <xf numFmtId="41" fontId="70" fillId="0" borderId="29" xfId="12" applyFont="1" applyBorder="1" applyAlignment="1">
      <alignment horizontal="center" vertical="center"/>
    </xf>
    <xf numFmtId="41" fontId="71" fillId="0" borderId="28" xfId="12" applyFont="1" applyBorder="1" applyAlignment="1">
      <alignment horizontal="center" vertical="center"/>
    </xf>
    <xf numFmtId="206" fontId="71" fillId="0" borderId="29" xfId="12" applyNumberFormat="1" applyFont="1" applyBorder="1" applyAlignment="1">
      <alignment horizontal="center" vertical="center"/>
    </xf>
    <xf numFmtId="206" fontId="71" fillId="0" borderId="28" xfId="12" applyNumberFormat="1" applyFont="1" applyBorder="1" applyAlignment="1">
      <alignment horizontal="center" vertical="center"/>
    </xf>
    <xf numFmtId="41" fontId="71" fillId="0" borderId="29" xfId="12" applyNumberFormat="1" applyFont="1" applyBorder="1" applyAlignment="1">
      <alignment horizontal="center" vertical="center"/>
    </xf>
    <xf numFmtId="0" fontId="71" fillId="0" borderId="100" xfId="0" applyFont="1" applyBorder="1" applyAlignment="1">
      <alignment horizontal="center" vertical="center"/>
    </xf>
    <xf numFmtId="0" fontId="71" fillId="0" borderId="49" xfId="0" applyFont="1" applyBorder="1" applyAlignment="1">
      <alignment horizontal="center" vertical="center"/>
    </xf>
    <xf numFmtId="0" fontId="71" fillId="0" borderId="49" xfId="0" applyFont="1" applyBorder="1" applyAlignment="1">
      <alignment horizontal="right" vertical="center"/>
    </xf>
    <xf numFmtId="41" fontId="71" fillId="0" borderId="49" xfId="12" applyNumberFormat="1" applyFont="1" applyBorder="1" applyAlignment="1">
      <alignment horizontal="right" vertical="center"/>
    </xf>
    <xf numFmtId="41" fontId="71" fillId="0" borderId="49" xfId="12" applyFont="1" applyBorder="1" applyAlignment="1">
      <alignment horizontal="center" vertical="center"/>
    </xf>
    <xf numFmtId="41" fontId="71" fillId="0" borderId="20" xfId="12" applyFont="1" applyBorder="1" applyAlignment="1">
      <alignment horizontal="center" vertical="center"/>
    </xf>
    <xf numFmtId="41" fontId="70" fillId="0" borderId="105" xfId="12" applyFont="1" applyFill="1" applyBorder="1" applyAlignment="1">
      <alignment horizontal="center" vertical="center"/>
    </xf>
    <xf numFmtId="0" fontId="66" fillId="0" borderId="0" xfId="0" applyFont="1" applyAlignment="1">
      <alignment horizontal="right" vertical="center"/>
    </xf>
    <xf numFmtId="41" fontId="66" fillId="0" borderId="0" xfId="12" applyFont="1" applyAlignment="1">
      <alignment horizontal="right" vertical="center"/>
    </xf>
    <xf numFmtId="41" fontId="66" fillId="0" borderId="0" xfId="12" applyFont="1" applyAlignment="1">
      <alignment horizontal="center" vertical="center"/>
    </xf>
    <xf numFmtId="0" fontId="51" fillId="0" borderId="0" xfId="0" applyFont="1" applyAlignment="1">
      <alignment horizontal="right" vertical="center"/>
    </xf>
    <xf numFmtId="41" fontId="51" fillId="0" borderId="0" xfId="12" applyFont="1" applyAlignment="1">
      <alignment horizontal="right" vertical="center"/>
    </xf>
    <xf numFmtId="41" fontId="51" fillId="0" borderId="0" xfId="12" applyFont="1" applyAlignment="1">
      <alignment horizontal="center" vertical="center"/>
    </xf>
    <xf numFmtId="208" fontId="71" fillId="0" borderId="99" xfId="12" applyNumberFormat="1" applyFont="1" applyBorder="1" applyAlignment="1">
      <alignment vertical="center"/>
    </xf>
    <xf numFmtId="41" fontId="71" fillId="0" borderId="99" xfId="12" applyFont="1" applyFill="1" applyBorder="1" applyAlignment="1">
      <alignment horizontal="center" vertical="center"/>
    </xf>
    <xf numFmtId="41" fontId="71" fillId="0" borderId="106" xfId="12" applyFont="1" applyBorder="1" applyAlignment="1">
      <alignment horizontal="center" vertical="center"/>
    </xf>
    <xf numFmtId="41" fontId="71" fillId="0" borderId="29" xfId="12" applyNumberFormat="1" applyFont="1" applyBorder="1" applyAlignment="1">
      <alignment vertical="center"/>
    </xf>
    <xf numFmtId="0" fontId="71" fillId="0" borderId="54" xfId="0" applyFont="1" applyBorder="1" applyAlignment="1">
      <alignment horizontal="center" vertical="center"/>
    </xf>
    <xf numFmtId="207" fontId="71" fillId="0" borderId="54" xfId="12" applyNumberFormat="1" applyFont="1" applyFill="1" applyBorder="1" applyAlignment="1">
      <alignment horizontal="right" vertical="center"/>
    </xf>
    <xf numFmtId="41" fontId="71" fillId="0" borderId="54" xfId="12" applyNumberFormat="1" applyFont="1" applyFill="1" applyBorder="1" applyAlignment="1">
      <alignment horizontal="center" vertical="center"/>
    </xf>
    <xf numFmtId="0" fontId="66" fillId="0" borderId="54" xfId="0" applyFont="1" applyBorder="1" applyAlignment="1">
      <alignment horizontal="center" vertical="center"/>
    </xf>
    <xf numFmtId="41" fontId="71" fillId="0" borderId="49" xfId="12" applyFont="1" applyFill="1" applyBorder="1" applyAlignment="1">
      <alignment horizontal="center" vertical="center"/>
    </xf>
    <xf numFmtId="41" fontId="66" fillId="0" borderId="0" xfId="12" applyFont="1" applyFill="1" applyAlignment="1">
      <alignment horizontal="center" vertical="center"/>
    </xf>
    <xf numFmtId="41" fontId="51" fillId="0" borderId="0" xfId="12" applyFont="1" applyFill="1" applyAlignment="1">
      <alignment horizontal="center" vertical="center"/>
    </xf>
    <xf numFmtId="184" fontId="51" fillId="0" borderId="0" xfId="12" applyNumberFormat="1" applyFont="1" applyAlignment="1">
      <alignment horizontal="center" vertical="center"/>
    </xf>
    <xf numFmtId="206" fontId="71" fillId="0" borderId="47" xfId="12" applyNumberFormat="1" applyFont="1" applyBorder="1" applyAlignment="1">
      <alignment horizontal="center" vertical="center"/>
    </xf>
    <xf numFmtId="41" fontId="71" fillId="0" borderId="99" xfId="12" applyNumberFormat="1" applyFont="1" applyBorder="1" applyAlignment="1">
      <alignment horizontal="center" vertical="center"/>
    </xf>
    <xf numFmtId="41" fontId="71" fillId="0" borderId="47" xfId="12" applyNumberFormat="1" applyFont="1" applyBorder="1" applyAlignment="1">
      <alignment vertical="center"/>
    </xf>
    <xf numFmtId="41" fontId="71" fillId="0" borderId="53" xfId="12" applyNumberFormat="1" applyFont="1" applyBorder="1" applyAlignment="1">
      <alignment horizontal="center" vertical="center"/>
    </xf>
    <xf numFmtId="206" fontId="71" fillId="0" borderId="29" xfId="12" applyNumberFormat="1" applyFont="1" applyBorder="1" applyAlignment="1">
      <alignment vertical="center"/>
    </xf>
    <xf numFmtId="206" fontId="71" fillId="0" borderId="29" xfId="12" applyNumberFormat="1" applyFont="1" applyFill="1" applyBorder="1" applyAlignment="1">
      <alignment vertical="center"/>
    </xf>
    <xf numFmtId="41" fontId="71" fillId="0" borderId="47" xfId="12" applyNumberFormat="1" applyFont="1" applyFill="1" applyBorder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0" fillId="0" borderId="29" xfId="0" applyFont="1" applyBorder="1" applyAlignment="1">
      <alignment horizontal="right" vertical="center"/>
    </xf>
    <xf numFmtId="41" fontId="70" fillId="0" borderId="29" xfId="12" applyNumberFormat="1" applyFont="1" applyBorder="1" applyAlignment="1">
      <alignment horizontal="right" vertical="center"/>
    </xf>
    <xf numFmtId="206" fontId="70" fillId="0" borderId="29" xfId="12" applyNumberFormat="1" applyFont="1" applyBorder="1" applyAlignment="1">
      <alignment horizontal="center" vertical="center"/>
    </xf>
    <xf numFmtId="41" fontId="70" fillId="0" borderId="29" xfId="12" applyNumberFormat="1" applyFont="1" applyBorder="1" applyAlignment="1">
      <alignment horizontal="center" vertical="center"/>
    </xf>
    <xf numFmtId="0" fontId="51" fillId="0" borderId="0" xfId="0" applyFont="1" applyBorder="1" applyAlignment="1">
      <alignment vertical="center"/>
    </xf>
    <xf numFmtId="0" fontId="51" fillId="0" borderId="0" xfId="0" applyFont="1" applyBorder="1" applyAlignment="1">
      <alignment horizontal="center" vertical="center"/>
    </xf>
    <xf numFmtId="0" fontId="51" fillId="0" borderId="0" xfId="0" quotePrefix="1" applyFont="1" applyBorder="1" applyAlignment="1">
      <alignment horizontal="center" vertical="center"/>
    </xf>
    <xf numFmtId="0" fontId="51" fillId="0" borderId="0" xfId="0" applyFont="1" applyBorder="1" applyAlignment="1">
      <alignment horizontal="right" vertical="center"/>
    </xf>
    <xf numFmtId="196" fontId="51" fillId="0" borderId="0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51" fillId="0" borderId="0" xfId="0" applyFont="1" applyBorder="1" applyAlignment="1">
      <alignment horizontal="center"/>
    </xf>
    <xf numFmtId="0" fontId="51" fillId="0" borderId="0" xfId="28" applyFont="1"/>
    <xf numFmtId="0" fontId="51" fillId="0" borderId="0" xfId="28" applyFont="1" applyAlignment="1">
      <alignment horizontal="center"/>
    </xf>
    <xf numFmtId="0" fontId="51" fillId="0" borderId="0" xfId="28" quotePrefix="1" applyFont="1" applyBorder="1" applyAlignment="1">
      <alignment horizontal="center" vertical="center"/>
    </xf>
    <xf numFmtId="0" fontId="51" fillId="0" borderId="0" xfId="28" applyFont="1" applyBorder="1" applyAlignment="1">
      <alignment horizontal="right" vertical="center"/>
    </xf>
    <xf numFmtId="0" fontId="51" fillId="0" borderId="0" xfId="28" applyFont="1" applyBorder="1" applyAlignment="1">
      <alignment vertical="center"/>
    </xf>
    <xf numFmtId="0" fontId="51" fillId="0" borderId="0" xfId="28" applyFont="1" applyAlignment="1">
      <alignment vertical="center"/>
    </xf>
    <xf numFmtId="0" fontId="66" fillId="0" borderId="0" xfId="28" applyFont="1" applyAlignment="1">
      <alignment vertical="center"/>
    </xf>
    <xf numFmtId="0" fontId="28" fillId="0" borderId="0" xfId="24" applyFont="1"/>
    <xf numFmtId="41" fontId="30" fillId="0" borderId="23" xfId="12" applyFont="1" applyBorder="1" applyAlignment="1">
      <alignment horizontal="center" vertical="center"/>
    </xf>
    <xf numFmtId="41" fontId="30" fillId="0" borderId="23" xfId="12" applyFont="1" applyBorder="1" applyAlignment="1">
      <alignment horizontal="center" vertical="center" shrinkToFit="1"/>
    </xf>
    <xf numFmtId="41" fontId="30" fillId="0" borderId="28" xfId="12" applyFont="1" applyBorder="1" applyAlignment="1">
      <alignment horizontal="center" vertical="center"/>
    </xf>
    <xf numFmtId="41" fontId="47" fillId="0" borderId="43" xfId="12" applyFont="1" applyBorder="1" applyAlignment="1">
      <alignment vertical="center" shrinkToFit="1"/>
    </xf>
    <xf numFmtId="41" fontId="31" fillId="0" borderId="23" xfId="12" applyFont="1" applyBorder="1" applyAlignment="1">
      <alignment vertical="center"/>
    </xf>
    <xf numFmtId="41" fontId="47" fillId="0" borderId="23" xfId="12" applyFont="1" applyBorder="1" applyAlignment="1">
      <alignment vertical="center"/>
    </xf>
    <xf numFmtId="0" fontId="31" fillId="0" borderId="23" xfId="24" applyFont="1" applyBorder="1" applyAlignment="1">
      <alignment vertical="center"/>
    </xf>
    <xf numFmtId="41" fontId="31" fillId="0" borderId="23" xfId="24" applyNumberFormat="1" applyFont="1" applyBorder="1" applyAlignment="1">
      <alignment vertical="center"/>
    </xf>
    <xf numFmtId="41" fontId="47" fillId="0" borderId="26" xfId="12" applyFont="1" applyBorder="1" applyAlignment="1">
      <alignment vertical="center"/>
    </xf>
    <xf numFmtId="41" fontId="47" fillId="0" borderId="43" xfId="12" applyFont="1" applyBorder="1" applyAlignment="1">
      <alignment vertical="center"/>
    </xf>
    <xf numFmtId="0" fontId="47" fillId="0" borderId="23" xfId="24" applyFont="1" applyBorder="1" applyAlignment="1">
      <alignment vertical="center"/>
    </xf>
    <xf numFmtId="0" fontId="31" fillId="0" borderId="23" xfId="24" applyFont="1" applyBorder="1" applyAlignment="1">
      <alignment horizontal="center" vertical="center"/>
    </xf>
    <xf numFmtId="41" fontId="31" fillId="0" borderId="23" xfId="24" applyNumberFormat="1" applyFont="1" applyBorder="1" applyAlignment="1">
      <alignment horizontal="center" vertical="center"/>
    </xf>
    <xf numFmtId="0" fontId="30" fillId="0" borderId="28" xfId="24" applyFont="1" applyBorder="1" applyAlignment="1">
      <alignment horizontal="center" vertical="center"/>
    </xf>
    <xf numFmtId="41" fontId="47" fillId="0" borderId="23" xfId="24" applyNumberFormat="1" applyFont="1" applyBorder="1" applyAlignment="1">
      <alignment vertical="center"/>
    </xf>
    <xf numFmtId="0" fontId="82" fillId="0" borderId="23" xfId="24" applyFont="1" applyBorder="1" applyAlignment="1">
      <alignment horizontal="center" vertical="center"/>
    </xf>
    <xf numFmtId="41" fontId="82" fillId="0" borderId="23" xfId="24" applyNumberFormat="1" applyFont="1" applyBorder="1" applyAlignment="1">
      <alignment horizontal="center" vertical="center"/>
    </xf>
    <xf numFmtId="0" fontId="4" fillId="0" borderId="28" xfId="24" applyFont="1" applyBorder="1" applyAlignment="1">
      <alignment horizontal="center" vertical="center"/>
    </xf>
    <xf numFmtId="0" fontId="50" fillId="0" borderId="0" xfId="24"/>
    <xf numFmtId="0" fontId="47" fillId="0" borderId="23" xfId="24" applyFont="1" applyBorder="1" applyAlignment="1">
      <alignment horizontal="center" vertical="center"/>
    </xf>
    <xf numFmtId="0" fontId="82" fillId="0" borderId="23" xfId="24" applyFont="1" applyBorder="1" applyAlignment="1">
      <alignment vertical="center"/>
    </xf>
    <xf numFmtId="0" fontId="50" fillId="0" borderId="28" xfId="24" applyBorder="1" applyAlignment="1">
      <alignment vertical="center"/>
    </xf>
    <xf numFmtId="0" fontId="47" fillId="0" borderId="23" xfId="24" applyFont="1" applyBorder="1"/>
    <xf numFmtId="41" fontId="47" fillId="0" borderId="23" xfId="24" applyNumberFormat="1" applyFont="1" applyBorder="1"/>
    <xf numFmtId="0" fontId="82" fillId="0" borderId="23" xfId="24" applyFont="1" applyBorder="1"/>
    <xf numFmtId="0" fontId="50" fillId="0" borderId="28" xfId="24" applyBorder="1"/>
    <xf numFmtId="0" fontId="80" fillId="0" borderId="23" xfId="24" applyFont="1" applyBorder="1" applyAlignment="1">
      <alignment horizontal="center" vertical="center"/>
    </xf>
    <xf numFmtId="41" fontId="82" fillId="0" borderId="23" xfId="24" applyNumberFormat="1" applyFont="1" applyBorder="1"/>
    <xf numFmtId="0" fontId="50" fillId="0" borderId="23" xfId="24" applyBorder="1"/>
    <xf numFmtId="0" fontId="50" fillId="0" borderId="31" xfId="24" applyBorder="1"/>
    <xf numFmtId="0" fontId="50" fillId="0" borderId="20" xfId="24" applyBorder="1"/>
    <xf numFmtId="0" fontId="71" fillId="0" borderId="0" xfId="24" applyFont="1"/>
    <xf numFmtId="41" fontId="71" fillId="0" borderId="23" xfId="12" applyFont="1" applyBorder="1" applyAlignment="1">
      <alignment horizontal="center" vertical="center"/>
    </xf>
    <xf numFmtId="41" fontId="71" fillId="0" borderId="23" xfId="12" applyFont="1" applyBorder="1" applyAlignment="1">
      <alignment horizontal="center" vertical="center" shrinkToFit="1"/>
    </xf>
    <xf numFmtId="41" fontId="70" fillId="0" borderId="26" xfId="12" applyFont="1" applyBorder="1" applyAlignment="1">
      <alignment vertical="center"/>
    </xf>
    <xf numFmtId="41" fontId="70" fillId="0" borderId="25" xfId="12" applyFont="1" applyBorder="1" applyAlignment="1">
      <alignment vertical="center"/>
    </xf>
    <xf numFmtId="41" fontId="70" fillId="0" borderId="43" xfId="12" applyFont="1" applyBorder="1" applyAlignment="1">
      <alignment vertical="center"/>
    </xf>
    <xf numFmtId="41" fontId="71" fillId="0" borderId="23" xfId="12" applyFont="1" applyBorder="1" applyAlignment="1">
      <alignment horizontal="left" vertical="center"/>
    </xf>
    <xf numFmtId="223" fontId="71" fillId="0" borderId="23" xfId="12" applyNumberFormat="1" applyFont="1" applyBorder="1" applyAlignment="1">
      <alignment horizontal="right" vertical="center"/>
    </xf>
    <xf numFmtId="41" fontId="71" fillId="0" borderId="28" xfId="12" applyFont="1" applyBorder="1" applyAlignment="1">
      <alignment vertical="center"/>
    </xf>
    <xf numFmtId="223" fontId="71" fillId="0" borderId="23" xfId="12" applyNumberFormat="1" applyFont="1" applyBorder="1" applyAlignment="1">
      <alignment vertical="center"/>
    </xf>
    <xf numFmtId="0" fontId="71" fillId="0" borderId="23" xfId="24" applyFont="1" applyBorder="1" applyAlignment="1">
      <alignment vertical="center"/>
    </xf>
    <xf numFmtId="0" fontId="71" fillId="0" borderId="23" xfId="24" applyFont="1" applyBorder="1" applyAlignment="1">
      <alignment horizontal="center" vertical="center"/>
    </xf>
    <xf numFmtId="41" fontId="71" fillId="0" borderId="23" xfId="24" applyNumberFormat="1" applyFont="1" applyBorder="1" applyAlignment="1">
      <alignment horizontal="center" vertical="center"/>
    </xf>
    <xf numFmtId="0" fontId="71" fillId="0" borderId="28" xfId="24" applyFont="1" applyBorder="1" applyAlignment="1">
      <alignment vertical="center"/>
    </xf>
    <xf numFmtId="224" fontId="71" fillId="0" borderId="23" xfId="24" applyNumberFormat="1" applyFont="1" applyBorder="1" applyAlignment="1">
      <alignment horizontal="right" vertical="center"/>
    </xf>
    <xf numFmtId="229" fontId="71" fillId="0" borderId="23" xfId="24" applyNumberFormat="1" applyFont="1" applyBorder="1" applyAlignment="1">
      <alignment horizontal="right" vertical="center"/>
    </xf>
    <xf numFmtId="224" fontId="71" fillId="0" borderId="23" xfId="24" applyNumberFormat="1" applyFont="1" applyBorder="1" applyAlignment="1">
      <alignment vertical="center"/>
    </xf>
    <xf numFmtId="231" fontId="71" fillId="0" borderId="23" xfId="24" applyNumberFormat="1" applyFont="1" applyBorder="1" applyAlignment="1">
      <alignment vertical="center"/>
    </xf>
    <xf numFmtId="0" fontId="71" fillId="0" borderId="28" xfId="24" applyFont="1" applyBorder="1" applyAlignment="1">
      <alignment horizontal="center" vertical="center"/>
    </xf>
    <xf numFmtId="41" fontId="71" fillId="0" borderId="23" xfId="24" applyNumberFormat="1" applyFont="1" applyBorder="1" applyAlignment="1">
      <alignment vertical="center"/>
    </xf>
    <xf numFmtId="0" fontId="51" fillId="0" borderId="0" xfId="24" applyFont="1" applyAlignment="1">
      <alignment vertical="center"/>
    </xf>
    <xf numFmtId="0" fontId="51" fillId="0" borderId="0" xfId="24" applyFont="1"/>
    <xf numFmtId="0" fontId="1" fillId="0" borderId="5" xfId="32" applyFont="1" applyBorder="1" applyAlignment="1">
      <alignment vertical="center"/>
    </xf>
    <xf numFmtId="0" fontId="1" fillId="0" borderId="6" xfId="32" applyBorder="1" applyAlignment="1">
      <alignment vertical="center"/>
    </xf>
    <xf numFmtId="0" fontId="1" fillId="0" borderId="7" xfId="32" applyBorder="1" applyAlignment="1">
      <alignment vertical="center"/>
    </xf>
    <xf numFmtId="0" fontId="1" fillId="0" borderId="8" xfId="32" applyBorder="1" applyAlignment="1">
      <alignment vertical="center"/>
    </xf>
    <xf numFmtId="0" fontId="1" fillId="0" borderId="0" xfId="32" applyBorder="1" applyAlignment="1">
      <alignment vertical="center"/>
    </xf>
    <xf numFmtId="0" fontId="1" fillId="0" borderId="9" xfId="32" applyBorder="1" applyAlignment="1">
      <alignment vertical="center"/>
    </xf>
    <xf numFmtId="0" fontId="1" fillId="0" borderId="10" xfId="32" applyFont="1" applyBorder="1" applyAlignment="1">
      <alignment vertical="center"/>
    </xf>
    <xf numFmtId="0" fontId="1" fillId="0" borderId="11" xfId="32" applyBorder="1" applyAlignment="1">
      <alignment vertical="center"/>
    </xf>
    <xf numFmtId="0" fontId="1" fillId="0" borderId="12" xfId="32" applyBorder="1" applyAlignment="1">
      <alignment vertical="center"/>
    </xf>
    <xf numFmtId="0" fontId="1" fillId="0" borderId="131" xfId="32" applyBorder="1" applyAlignment="1">
      <alignment horizontal="center" vertical="center"/>
    </xf>
    <xf numFmtId="0" fontId="1" fillId="0" borderId="132" xfId="32" applyBorder="1" applyAlignment="1">
      <alignment horizontal="center" vertical="center"/>
    </xf>
    <xf numFmtId="0" fontId="1" fillId="0" borderId="133" xfId="32" applyBorder="1" applyAlignment="1">
      <alignment horizontal="center" vertical="center"/>
    </xf>
    <xf numFmtId="0" fontId="1" fillId="0" borderId="34" xfId="32" applyBorder="1" applyAlignment="1">
      <alignment horizontal="center" vertical="center"/>
    </xf>
    <xf numFmtId="0" fontId="1" fillId="0" borderId="35" xfId="32" applyBorder="1" applyAlignment="1">
      <alignment horizontal="center" vertical="center"/>
    </xf>
    <xf numFmtId="0" fontId="1" fillId="0" borderId="35" xfId="32" applyBorder="1" applyAlignment="1">
      <alignment vertical="center"/>
    </xf>
    <xf numFmtId="41" fontId="1" fillId="0" borderId="35" xfId="14" applyBorder="1" applyAlignment="1">
      <alignment vertical="center"/>
    </xf>
    <xf numFmtId="0" fontId="1" fillId="0" borderId="36" xfId="32" applyBorder="1" applyAlignment="1">
      <alignment vertical="center"/>
    </xf>
    <xf numFmtId="0" fontId="1" fillId="0" borderId="24" xfId="32" applyBorder="1" applyAlignment="1">
      <alignment horizontal="center" vertical="center"/>
    </xf>
    <xf numFmtId="0" fontId="1" fillId="0" borderId="23" xfId="32" applyBorder="1" applyAlignment="1">
      <alignment horizontal="center" vertical="center"/>
    </xf>
    <xf numFmtId="0" fontId="1" fillId="0" borderId="23" xfId="32" applyBorder="1" applyAlignment="1">
      <alignment vertical="center"/>
    </xf>
    <xf numFmtId="41" fontId="1" fillId="0" borderId="23" xfId="14" applyBorder="1" applyAlignment="1">
      <alignment vertical="center"/>
    </xf>
    <xf numFmtId="0" fontId="1" fillId="0" borderId="28" xfId="32" applyBorder="1" applyAlignment="1">
      <alignment vertical="center"/>
    </xf>
    <xf numFmtId="0" fontId="1" fillId="0" borderId="30" xfId="32" applyBorder="1" applyAlignment="1">
      <alignment horizontal="center" vertical="center"/>
    </xf>
    <xf numFmtId="0" fontId="1" fillId="0" borderId="31" xfId="32" applyBorder="1" applyAlignment="1">
      <alignment horizontal="center" vertical="center"/>
    </xf>
    <xf numFmtId="0" fontId="1" fillId="0" borderId="31" xfId="32" applyBorder="1" applyAlignment="1">
      <alignment vertical="center"/>
    </xf>
    <xf numFmtId="41" fontId="1" fillId="0" borderId="31" xfId="32" applyNumberFormat="1" applyBorder="1" applyAlignment="1">
      <alignment vertical="center"/>
    </xf>
    <xf numFmtId="0" fontId="1" fillId="0" borderId="20" xfId="32" applyBorder="1" applyAlignment="1">
      <alignment vertical="center"/>
    </xf>
    <xf numFmtId="0" fontId="1" fillId="0" borderId="21" xfId="32" applyBorder="1" applyAlignment="1">
      <alignment horizontal="center" vertical="center"/>
    </xf>
    <xf numFmtId="0" fontId="1" fillId="0" borderId="22" xfId="32" applyBorder="1" applyAlignment="1">
      <alignment horizontal="center" vertical="center"/>
    </xf>
    <xf numFmtId="0" fontId="1" fillId="0" borderId="22" xfId="32" applyBorder="1" applyAlignment="1">
      <alignment vertical="center"/>
    </xf>
    <xf numFmtId="41" fontId="1" fillId="0" borderId="22" xfId="32" applyNumberFormat="1" applyBorder="1" applyAlignment="1">
      <alignment vertical="center"/>
    </xf>
    <xf numFmtId="0" fontId="1" fillId="0" borderId="27" xfId="32" applyBorder="1" applyAlignment="1">
      <alignment vertical="center"/>
    </xf>
    <xf numFmtId="41" fontId="1" fillId="0" borderId="23" xfId="12" applyFont="1" applyBorder="1" applyAlignment="1">
      <alignment vertical="center"/>
    </xf>
    <xf numFmtId="41" fontId="1" fillId="0" borderId="23" xfId="32" applyNumberFormat="1" applyBorder="1" applyAlignment="1">
      <alignment vertical="center"/>
    </xf>
    <xf numFmtId="41" fontId="1" fillId="0" borderId="22" xfId="14" applyBorder="1" applyAlignment="1">
      <alignment vertical="center"/>
    </xf>
    <xf numFmtId="0" fontId="1" fillId="0" borderId="134" xfId="32" applyBorder="1" applyAlignment="1">
      <alignment horizontal="center" vertical="center"/>
    </xf>
    <xf numFmtId="0" fontId="1" fillId="0" borderId="110" xfId="32" applyBorder="1" applyAlignment="1">
      <alignment horizontal="center" vertical="center"/>
    </xf>
    <xf numFmtId="0" fontId="1" fillId="0" borderId="110" xfId="32" applyBorder="1" applyAlignment="1">
      <alignment vertical="center"/>
    </xf>
    <xf numFmtId="0" fontId="1" fillId="0" borderId="17" xfId="32" applyBorder="1" applyAlignment="1">
      <alignment vertical="center"/>
    </xf>
    <xf numFmtId="0" fontId="1" fillId="0" borderId="132" xfId="32" applyBorder="1" applyAlignment="1">
      <alignment vertical="center"/>
    </xf>
    <xf numFmtId="41" fontId="1" fillId="0" borderId="132" xfId="32" applyNumberFormat="1" applyBorder="1" applyAlignment="1">
      <alignment vertical="center"/>
    </xf>
    <xf numFmtId="0" fontId="1" fillId="0" borderId="133" xfId="32" applyBorder="1" applyAlignment="1">
      <alignment vertical="center"/>
    </xf>
    <xf numFmtId="41" fontId="1" fillId="0" borderId="35" xfId="12" applyFont="1" applyBorder="1" applyAlignment="1">
      <alignment vertical="center"/>
    </xf>
    <xf numFmtId="0" fontId="1" fillId="0" borderId="5" xfId="32" applyBorder="1" applyAlignment="1">
      <alignment vertical="center"/>
    </xf>
    <xf numFmtId="207" fontId="1" fillId="0" borderId="31" xfId="32" applyNumberFormat="1" applyBorder="1" applyAlignment="1">
      <alignment vertical="center"/>
    </xf>
    <xf numFmtId="0" fontId="1" fillId="0" borderId="22" xfId="32" applyFont="1" applyBorder="1" applyAlignment="1">
      <alignment horizontal="center" vertical="center"/>
    </xf>
    <xf numFmtId="0" fontId="1" fillId="0" borderId="23" xfId="32" applyFont="1" applyBorder="1" applyAlignment="1">
      <alignment horizontal="center" vertical="center"/>
    </xf>
    <xf numFmtId="0" fontId="50" fillId="0" borderId="5" xfId="24" applyBorder="1"/>
    <xf numFmtId="0" fontId="50" fillId="0" borderId="6" xfId="24" applyBorder="1"/>
    <xf numFmtId="0" fontId="50" fillId="0" borderId="7" xfId="24" applyBorder="1"/>
    <xf numFmtId="0" fontId="4" fillId="0" borderId="0" xfId="32" applyFont="1" applyBorder="1" applyAlignment="1">
      <alignment horizontal="center" vertical="center"/>
    </xf>
    <xf numFmtId="0" fontId="4" fillId="0" borderId="8" xfId="32" applyFont="1" applyBorder="1" applyAlignment="1">
      <alignment vertical="center"/>
    </xf>
    <xf numFmtId="0" fontId="4" fillId="0" borderId="0" xfId="32" applyFont="1" applyBorder="1" applyAlignment="1">
      <alignment vertical="center"/>
    </xf>
    <xf numFmtId="0" fontId="4" fillId="0" borderId="9" xfId="32" applyFont="1" applyBorder="1" applyAlignment="1">
      <alignment vertical="center"/>
    </xf>
    <xf numFmtId="206" fontId="4" fillId="0" borderId="0" xfId="14" applyNumberFormat="1" applyFont="1" applyBorder="1" applyAlignment="1">
      <alignment vertical="center"/>
    </xf>
    <xf numFmtId="41" fontId="4" fillId="0" borderId="0" xfId="12" applyFont="1" applyBorder="1" applyAlignment="1">
      <alignment vertical="center"/>
    </xf>
    <xf numFmtId="41" fontId="4" fillId="0" borderId="0" xfId="14" applyFont="1" applyBorder="1" applyAlignment="1">
      <alignment vertical="center"/>
    </xf>
    <xf numFmtId="41" fontId="4" fillId="0" borderId="0" xfId="32" applyNumberFormat="1" applyFont="1" applyBorder="1" applyAlignment="1">
      <alignment vertical="center"/>
    </xf>
    <xf numFmtId="0" fontId="4" fillId="0" borderId="10" xfId="32" applyFont="1" applyBorder="1" applyAlignment="1">
      <alignment vertical="center"/>
    </xf>
    <xf numFmtId="0" fontId="4" fillId="0" borderId="11" xfId="32" applyFont="1" applyBorder="1" applyAlignment="1">
      <alignment vertical="center"/>
    </xf>
    <xf numFmtId="0" fontId="4" fillId="0" borderId="11" xfId="32" applyFont="1" applyBorder="1" applyAlignment="1">
      <alignment horizontal="center" vertical="center"/>
    </xf>
    <xf numFmtId="0" fontId="4" fillId="0" borderId="12" xfId="32" applyFont="1" applyBorder="1" applyAlignment="1">
      <alignment vertical="center"/>
    </xf>
    <xf numFmtId="3" fontId="82" fillId="6" borderId="35" xfId="24" applyNumberFormat="1" applyFont="1" applyFill="1" applyBorder="1" applyAlignment="1">
      <alignment horizontal="centerContinuous" vertical="center"/>
    </xf>
    <xf numFmtId="41" fontId="82" fillId="6" borderId="35" xfId="12" applyFont="1" applyFill="1" applyBorder="1" applyAlignment="1">
      <alignment horizontal="centerContinuous" vertical="center"/>
    </xf>
    <xf numFmtId="0" fontId="82" fillId="6" borderId="23" xfId="24" applyNumberFormat="1" applyFont="1" applyFill="1" applyBorder="1" applyAlignment="1">
      <alignment horizontal="centerContinuous" vertical="center"/>
    </xf>
    <xf numFmtId="41" fontId="82" fillId="6" borderId="23" xfId="12" applyFont="1" applyFill="1" applyBorder="1" applyAlignment="1">
      <alignment horizontal="centerContinuous" vertical="center"/>
    </xf>
    <xf numFmtId="0" fontId="82" fillId="6" borderId="24" xfId="24" applyFont="1" applyFill="1" applyBorder="1" applyAlignment="1">
      <alignment horizontal="left" vertical="center"/>
    </xf>
    <xf numFmtId="0" fontId="82" fillId="6" borderId="23" xfId="24" applyFont="1" applyFill="1" applyBorder="1" applyAlignment="1">
      <alignment horizontal="left" vertical="center"/>
    </xf>
    <xf numFmtId="0" fontId="82" fillId="6" borderId="23" xfId="24" applyFont="1" applyFill="1" applyBorder="1" applyAlignment="1">
      <alignment horizontal="center" vertical="center"/>
    </xf>
    <xf numFmtId="41" fontId="82" fillId="6" borderId="23" xfId="12" applyFont="1" applyFill="1" applyBorder="1" applyAlignment="1">
      <alignment horizontal="center" vertical="center"/>
    </xf>
    <xf numFmtId="0" fontId="82" fillId="6" borderId="23" xfId="24" applyNumberFormat="1" applyFont="1" applyFill="1" applyBorder="1" applyAlignment="1">
      <alignment horizontal="center" vertical="center"/>
    </xf>
    <xf numFmtId="41" fontId="82" fillId="6" borderId="28" xfId="12" applyFont="1" applyFill="1" applyBorder="1" applyAlignment="1">
      <alignment vertical="center"/>
    </xf>
    <xf numFmtId="41" fontId="82" fillId="6" borderId="23" xfId="12" applyFont="1" applyFill="1" applyBorder="1" applyAlignment="1">
      <alignment horizontal="right" vertical="center"/>
    </xf>
    <xf numFmtId="0" fontId="31" fillId="0" borderId="23" xfId="24" applyFont="1" applyBorder="1" applyAlignment="1">
      <alignment horizontal="left" vertical="center"/>
    </xf>
    <xf numFmtId="41" fontId="82" fillId="6" borderId="28" xfId="12" applyFont="1" applyFill="1" applyBorder="1" applyAlignment="1">
      <alignment horizontal="right" vertical="center"/>
    </xf>
    <xf numFmtId="226" fontId="82" fillId="6" borderId="24" xfId="24" applyNumberFormat="1" applyFont="1" applyFill="1" applyBorder="1" applyAlignment="1">
      <alignment horizontal="left" vertical="center"/>
    </xf>
    <xf numFmtId="3" fontId="82" fillId="6" borderId="23" xfId="24" applyNumberFormat="1" applyFont="1" applyFill="1" applyBorder="1" applyAlignment="1">
      <alignment horizontal="right" vertical="center"/>
    </xf>
    <xf numFmtId="41" fontId="82" fillId="6" borderId="30" xfId="12" applyFont="1" applyFill="1" applyBorder="1" applyAlignment="1" applyProtection="1">
      <alignment horizontal="left" vertical="center"/>
      <protection locked="0"/>
    </xf>
    <xf numFmtId="41" fontId="82" fillId="6" borderId="31" xfId="12" quotePrefix="1" applyFont="1" applyFill="1" applyBorder="1" applyAlignment="1" applyProtection="1">
      <alignment horizontal="left" vertical="center"/>
      <protection locked="0"/>
    </xf>
    <xf numFmtId="0" fontId="82" fillId="6" borderId="31" xfId="24" applyFont="1" applyFill="1" applyBorder="1" applyAlignment="1" applyProtection="1">
      <alignment horizontal="center" vertical="center"/>
      <protection locked="0"/>
    </xf>
    <xf numFmtId="0" fontId="82" fillId="6" borderId="31" xfId="24" applyFont="1" applyFill="1" applyBorder="1"/>
    <xf numFmtId="41" fontId="82" fillId="6" borderId="20" xfId="12" applyFont="1" applyFill="1" applyBorder="1" applyAlignment="1">
      <alignment vertical="center"/>
    </xf>
    <xf numFmtId="0" fontId="28" fillId="0" borderId="0" xfId="25" applyFont="1"/>
    <xf numFmtId="0" fontId="31" fillId="0" borderId="23" xfId="25" applyFont="1" applyBorder="1" applyAlignment="1">
      <alignment vertical="center"/>
    </xf>
    <xf numFmtId="41" fontId="31" fillId="0" borderId="23" xfId="25" applyNumberFormat="1" applyFont="1" applyBorder="1" applyAlignment="1">
      <alignment vertical="center"/>
    </xf>
    <xf numFmtId="0" fontId="47" fillId="0" borderId="23" xfId="25" applyFont="1" applyBorder="1" applyAlignment="1">
      <alignment vertical="center"/>
    </xf>
    <xf numFmtId="0" fontId="31" fillId="0" borderId="23" xfId="25" applyFont="1" applyBorder="1" applyAlignment="1">
      <alignment horizontal="center" vertical="center"/>
    </xf>
    <xf numFmtId="41" fontId="31" fillId="0" borderId="23" xfId="25" applyNumberFormat="1" applyFont="1" applyBorder="1" applyAlignment="1">
      <alignment horizontal="center" vertical="center"/>
    </xf>
    <xf numFmtId="0" fontId="30" fillId="0" borderId="28" xfId="25" applyFont="1" applyBorder="1" applyAlignment="1">
      <alignment horizontal="center" vertical="center"/>
    </xf>
    <xf numFmtId="41" fontId="47" fillId="0" borderId="23" xfId="25" applyNumberFormat="1" applyFont="1" applyBorder="1" applyAlignment="1">
      <alignment vertical="center"/>
    </xf>
    <xf numFmtId="0" fontId="82" fillId="0" borderId="23" xfId="25" applyFont="1" applyBorder="1" applyAlignment="1">
      <alignment horizontal="center" vertical="center"/>
    </xf>
    <xf numFmtId="41" fontId="82" fillId="0" borderId="23" xfId="25" applyNumberFormat="1" applyFont="1" applyBorder="1" applyAlignment="1">
      <alignment horizontal="center" vertical="center"/>
    </xf>
    <xf numFmtId="0" fontId="4" fillId="0" borderId="28" xfId="25" applyFont="1" applyBorder="1" applyAlignment="1">
      <alignment horizontal="center" vertical="center"/>
    </xf>
    <xf numFmtId="0" fontId="50" fillId="0" borderId="0" xfId="25"/>
    <xf numFmtId="0" fontId="47" fillId="0" borderId="23" xfId="25" applyFont="1" applyBorder="1" applyAlignment="1">
      <alignment horizontal="center" vertical="center"/>
    </xf>
    <xf numFmtId="0" fontId="82" fillId="0" borderId="23" xfId="25" applyFont="1" applyBorder="1" applyAlignment="1">
      <alignment vertical="center"/>
    </xf>
    <xf numFmtId="0" fontId="50" fillId="0" borderId="28" xfId="25" applyBorder="1" applyAlignment="1">
      <alignment vertical="center"/>
    </xf>
    <xf numFmtId="0" fontId="47" fillId="0" borderId="23" xfId="25" applyFont="1" applyBorder="1"/>
    <xf numFmtId="41" fontId="47" fillId="0" borderId="23" xfId="25" applyNumberFormat="1" applyFont="1" applyBorder="1"/>
    <xf numFmtId="0" fontId="82" fillId="0" borderId="23" xfId="25" applyFont="1" applyBorder="1"/>
    <xf numFmtId="0" fontId="50" fillId="0" borderId="28" xfId="25" applyBorder="1"/>
    <xf numFmtId="0" fontId="80" fillId="0" borderId="23" xfId="25" applyFont="1" applyBorder="1" applyAlignment="1">
      <alignment horizontal="center" vertical="center"/>
    </xf>
    <xf numFmtId="41" fontId="82" fillId="0" borderId="23" xfId="25" applyNumberFormat="1" applyFont="1" applyBorder="1"/>
    <xf numFmtId="0" fontId="50" fillId="0" borderId="23" xfId="25" applyBorder="1"/>
    <xf numFmtId="0" fontId="50" fillId="0" borderId="31" xfId="25" applyBorder="1"/>
    <xf numFmtId="0" fontId="50" fillId="0" borderId="20" xfId="25" applyBorder="1"/>
    <xf numFmtId="0" fontId="71" fillId="0" borderId="0" xfId="25" applyFont="1"/>
    <xf numFmtId="0" fontId="71" fillId="0" borderId="23" xfId="25" applyFont="1" applyBorder="1" applyAlignment="1">
      <alignment vertical="center"/>
    </xf>
    <xf numFmtId="0" fontId="71" fillId="0" borderId="23" xfId="25" applyFont="1" applyBorder="1" applyAlignment="1">
      <alignment horizontal="center" vertical="center"/>
    </xf>
    <xf numFmtId="41" fontId="71" fillId="0" borderId="23" xfId="25" applyNumberFormat="1" applyFont="1" applyBorder="1" applyAlignment="1">
      <alignment horizontal="center" vertical="center"/>
    </xf>
    <xf numFmtId="0" fontId="71" fillId="0" borderId="28" xfId="25" applyFont="1" applyBorder="1" applyAlignment="1">
      <alignment vertical="center"/>
    </xf>
    <xf numFmtId="224" fontId="71" fillId="0" borderId="23" xfId="25" applyNumberFormat="1" applyFont="1" applyBorder="1" applyAlignment="1">
      <alignment horizontal="right" vertical="center"/>
    </xf>
    <xf numFmtId="229" fontId="71" fillId="0" borderId="23" xfId="25" applyNumberFormat="1" applyFont="1" applyBorder="1" applyAlignment="1">
      <alignment horizontal="right" vertical="center"/>
    </xf>
    <xf numFmtId="224" fontId="71" fillId="0" borderId="23" xfId="25" applyNumberFormat="1" applyFont="1" applyBorder="1" applyAlignment="1">
      <alignment vertical="center"/>
    </xf>
    <xf numFmtId="231" fontId="71" fillId="0" borderId="23" xfId="25" applyNumberFormat="1" applyFont="1" applyBorder="1" applyAlignment="1">
      <alignment vertical="center"/>
    </xf>
    <xf numFmtId="0" fontId="71" fillId="0" borderId="28" xfId="25" applyFont="1" applyBorder="1" applyAlignment="1">
      <alignment horizontal="center" vertical="center"/>
    </xf>
    <xf numFmtId="41" fontId="71" fillId="0" borderId="23" xfId="25" applyNumberFormat="1" applyFont="1" applyBorder="1" applyAlignment="1">
      <alignment vertical="center"/>
    </xf>
    <xf numFmtId="0" fontId="51" fillId="0" borderId="0" xfId="25" applyFont="1"/>
    <xf numFmtId="0" fontId="50" fillId="0" borderId="5" xfId="25" applyBorder="1"/>
    <xf numFmtId="0" fontId="50" fillId="0" borderId="6" xfId="25" applyBorder="1"/>
    <xf numFmtId="0" fontId="50" fillId="0" borderId="7" xfId="25" applyBorder="1"/>
    <xf numFmtId="3" fontId="82" fillId="6" borderId="35" xfId="25" applyNumberFormat="1" applyFont="1" applyFill="1" applyBorder="1" applyAlignment="1">
      <alignment horizontal="centerContinuous" vertical="center"/>
    </xf>
    <xf numFmtId="0" fontId="82" fillId="6" borderId="23" xfId="25" applyNumberFormat="1" applyFont="1" applyFill="1" applyBorder="1" applyAlignment="1">
      <alignment horizontal="centerContinuous" vertical="center"/>
    </xf>
    <xf numFmtId="0" fontId="82" fillId="6" borderId="24" xfId="25" applyFont="1" applyFill="1" applyBorder="1" applyAlignment="1">
      <alignment horizontal="left" vertical="center"/>
    </xf>
    <xf numFmtId="0" fontId="82" fillId="6" borderId="23" xfId="25" applyFont="1" applyFill="1" applyBorder="1" applyAlignment="1">
      <alignment horizontal="left" vertical="center"/>
    </xf>
    <xf numFmtId="0" fontId="82" fillId="6" borderId="23" xfId="25" applyFont="1" applyFill="1" applyBorder="1" applyAlignment="1">
      <alignment horizontal="center" vertical="center"/>
    </xf>
    <xf numFmtId="0" fontId="82" fillId="6" borderId="23" xfId="25" applyNumberFormat="1" applyFont="1" applyFill="1" applyBorder="1" applyAlignment="1">
      <alignment horizontal="center" vertical="center"/>
    </xf>
    <xf numFmtId="226" fontId="82" fillId="6" borderId="24" xfId="25" applyNumberFormat="1" applyFont="1" applyFill="1" applyBorder="1" applyAlignment="1">
      <alignment horizontal="left" vertical="center"/>
    </xf>
    <xf numFmtId="3" fontId="82" fillId="6" borderId="23" xfId="25" applyNumberFormat="1" applyFont="1" applyFill="1" applyBorder="1" applyAlignment="1">
      <alignment horizontal="right" vertical="center"/>
    </xf>
    <xf numFmtId="0" fontId="82" fillId="6" borderId="31" xfId="25" applyFont="1" applyFill="1" applyBorder="1" applyAlignment="1" applyProtection="1">
      <alignment horizontal="center" vertical="center"/>
      <protection locked="0"/>
    </xf>
    <xf numFmtId="0" fontId="82" fillId="6" borderId="31" xfId="25" applyFont="1" applyFill="1" applyBorder="1"/>
    <xf numFmtId="0" fontId="28" fillId="0" borderId="0" xfId="23" applyFont="1"/>
    <xf numFmtId="0" fontId="31" fillId="0" borderId="23" xfId="23" applyFont="1" applyBorder="1" applyAlignment="1">
      <alignment vertical="center"/>
    </xf>
    <xf numFmtId="41" fontId="31" fillId="0" borderId="23" xfId="23" applyNumberFormat="1" applyFont="1" applyBorder="1" applyAlignment="1">
      <alignment vertical="center"/>
    </xf>
    <xf numFmtId="0" fontId="47" fillId="0" borderId="23" xfId="23" applyFont="1" applyBorder="1" applyAlignment="1">
      <alignment vertical="center"/>
    </xf>
    <xf numFmtId="0" fontId="31" fillId="0" borderId="23" xfId="23" applyFont="1" applyBorder="1" applyAlignment="1">
      <alignment horizontal="center" vertical="center"/>
    </xf>
    <xf numFmtId="41" fontId="31" fillId="0" borderId="23" xfId="23" applyNumberFormat="1" applyFont="1" applyBorder="1" applyAlignment="1">
      <alignment horizontal="center" vertical="center"/>
    </xf>
    <xf numFmtId="0" fontId="30" fillId="0" borderId="28" xfId="23" applyFont="1" applyBorder="1" applyAlignment="1">
      <alignment horizontal="center" vertical="center"/>
    </xf>
    <xf numFmtId="41" fontId="47" fillId="0" borderId="23" xfId="23" applyNumberFormat="1" applyFont="1" applyBorder="1" applyAlignment="1">
      <alignment vertical="center"/>
    </xf>
    <xf numFmtId="0" fontId="82" fillId="0" borderId="23" xfId="23" applyFont="1" applyBorder="1" applyAlignment="1">
      <alignment horizontal="center" vertical="center"/>
    </xf>
    <xf numFmtId="41" fontId="82" fillId="0" borderId="23" xfId="23" applyNumberFormat="1" applyFont="1" applyBorder="1" applyAlignment="1">
      <alignment horizontal="center" vertical="center"/>
    </xf>
    <xf numFmtId="0" fontId="4" fillId="0" borderId="28" xfId="23" applyFont="1" applyBorder="1" applyAlignment="1">
      <alignment horizontal="center" vertical="center"/>
    </xf>
    <xf numFmtId="0" fontId="50" fillId="0" borderId="0" xfId="23"/>
    <xf numFmtId="0" fontId="47" fillId="0" borderId="23" xfId="23" applyFont="1" applyBorder="1" applyAlignment="1">
      <alignment horizontal="center" vertical="center"/>
    </xf>
    <xf numFmtId="0" fontId="82" fillId="0" borderId="23" xfId="23" applyFont="1" applyBorder="1" applyAlignment="1">
      <alignment vertical="center"/>
    </xf>
    <xf numFmtId="0" fontId="50" fillId="0" borderId="28" xfId="23" applyBorder="1" applyAlignment="1">
      <alignment vertical="center"/>
    </xf>
    <xf numFmtId="0" fontId="47" fillId="0" borderId="23" xfId="23" applyFont="1" applyBorder="1"/>
    <xf numFmtId="41" fontId="47" fillId="0" borderId="23" xfId="23" applyNumberFormat="1" applyFont="1" applyBorder="1"/>
    <xf numFmtId="0" fontId="82" fillId="0" borderId="23" xfId="23" applyFont="1" applyBorder="1"/>
    <xf numFmtId="0" fontId="50" fillId="0" borderId="28" xfId="23" applyBorder="1"/>
    <xf numFmtId="0" fontId="80" fillId="0" borderId="23" xfId="23" applyFont="1" applyBorder="1" applyAlignment="1">
      <alignment horizontal="center" vertical="center"/>
    </xf>
    <xf numFmtId="41" fontId="82" fillId="0" borderId="23" xfId="23" applyNumberFormat="1" applyFont="1" applyBorder="1"/>
    <xf numFmtId="0" fontId="50" fillId="0" borderId="23" xfId="23" applyBorder="1"/>
    <xf numFmtId="0" fontId="50" fillId="0" borderId="31" xfId="23" applyBorder="1"/>
    <xf numFmtId="0" fontId="50" fillId="0" borderId="20" xfId="23" applyBorder="1"/>
    <xf numFmtId="0" fontId="71" fillId="0" borderId="0" xfId="23" applyFont="1"/>
    <xf numFmtId="0" fontId="71" fillId="0" borderId="23" xfId="23" applyFont="1" applyBorder="1" applyAlignment="1">
      <alignment vertical="center"/>
    </xf>
    <xf numFmtId="0" fontId="71" fillId="0" borderId="23" xfId="23" applyFont="1" applyBorder="1" applyAlignment="1">
      <alignment horizontal="center" vertical="center"/>
    </xf>
    <xf numFmtId="41" fontId="71" fillId="0" borderId="23" xfId="23" applyNumberFormat="1" applyFont="1" applyBorder="1" applyAlignment="1">
      <alignment horizontal="center" vertical="center"/>
    </xf>
    <xf numFmtId="0" fontId="71" fillId="0" borderId="28" xfId="23" applyFont="1" applyBorder="1" applyAlignment="1">
      <alignment vertical="center"/>
    </xf>
    <xf numFmtId="224" fontId="71" fillId="0" borderId="23" xfId="23" applyNumberFormat="1" applyFont="1" applyBorder="1" applyAlignment="1">
      <alignment horizontal="right" vertical="center"/>
    </xf>
    <xf numFmtId="229" fontId="71" fillId="0" borderId="23" xfId="23" applyNumberFormat="1" applyFont="1" applyBorder="1" applyAlignment="1">
      <alignment horizontal="right" vertical="center"/>
    </xf>
    <xf numFmtId="224" fontId="71" fillId="0" borderId="23" xfId="23" applyNumberFormat="1" applyFont="1" applyBorder="1" applyAlignment="1">
      <alignment vertical="center"/>
    </xf>
    <xf numFmtId="231" fontId="71" fillId="0" borderId="23" xfId="23" applyNumberFormat="1" applyFont="1" applyBorder="1" applyAlignment="1">
      <alignment vertical="center"/>
    </xf>
    <xf numFmtId="0" fontId="71" fillId="0" borderId="28" xfId="23" applyFont="1" applyBorder="1" applyAlignment="1">
      <alignment horizontal="center" vertical="center"/>
    </xf>
    <xf numFmtId="41" fontId="71" fillId="0" borderId="23" xfId="23" applyNumberFormat="1" applyFont="1" applyBorder="1" applyAlignment="1">
      <alignment vertical="center"/>
    </xf>
    <xf numFmtId="41" fontId="71" fillId="0" borderId="26" xfId="12" applyFont="1" applyBorder="1" applyAlignment="1">
      <alignment horizontal="center" vertical="center"/>
    </xf>
    <xf numFmtId="41" fontId="71" fillId="0" borderId="43" xfId="12" applyFont="1" applyBorder="1" applyAlignment="1">
      <alignment horizontal="center" vertical="center"/>
    </xf>
    <xf numFmtId="0" fontId="51" fillId="0" borderId="0" xfId="23" applyFont="1"/>
    <xf numFmtId="0" fontId="50" fillId="0" borderId="5" xfId="23" applyBorder="1"/>
    <xf numFmtId="0" fontId="50" fillId="0" borderId="6" xfId="23" applyBorder="1"/>
    <xf numFmtId="0" fontId="50" fillId="0" borderId="7" xfId="23" applyBorder="1"/>
    <xf numFmtId="3" fontId="82" fillId="6" borderId="35" xfId="23" applyNumberFormat="1" applyFont="1" applyFill="1" applyBorder="1" applyAlignment="1">
      <alignment horizontal="centerContinuous" vertical="center"/>
    </xf>
    <xf numFmtId="0" fontId="82" fillId="6" borderId="23" xfId="23" applyNumberFormat="1" applyFont="1" applyFill="1" applyBorder="1" applyAlignment="1">
      <alignment horizontal="centerContinuous" vertical="center"/>
    </xf>
    <xf numFmtId="0" fontId="82" fillId="6" borderId="24" xfId="23" applyFont="1" applyFill="1" applyBorder="1" applyAlignment="1">
      <alignment horizontal="left" vertical="center"/>
    </xf>
    <xf numFmtId="0" fontId="82" fillId="6" borderId="23" xfId="23" applyFont="1" applyFill="1" applyBorder="1" applyAlignment="1">
      <alignment horizontal="left" vertical="center"/>
    </xf>
    <xf numFmtId="0" fontId="82" fillId="6" borderId="23" xfId="23" applyFont="1" applyFill="1" applyBorder="1" applyAlignment="1">
      <alignment horizontal="center" vertical="center"/>
    </xf>
    <xf numFmtId="0" fontId="82" fillId="6" borderId="23" xfId="23" applyNumberFormat="1" applyFont="1" applyFill="1" applyBorder="1" applyAlignment="1">
      <alignment horizontal="center" vertical="center"/>
    </xf>
    <xf numFmtId="226" fontId="82" fillId="6" borderId="24" xfId="23" applyNumberFormat="1" applyFont="1" applyFill="1" applyBorder="1" applyAlignment="1">
      <alignment horizontal="left" vertical="center"/>
    </xf>
    <xf numFmtId="3" fontId="82" fillId="6" borderId="23" xfId="23" applyNumberFormat="1" applyFont="1" applyFill="1" applyBorder="1" applyAlignment="1">
      <alignment horizontal="right" vertical="center"/>
    </xf>
    <xf numFmtId="0" fontId="82" fillId="6" borderId="31" xfId="23" applyFont="1" applyFill="1" applyBorder="1" applyAlignment="1" applyProtection="1">
      <alignment horizontal="center" vertical="center"/>
      <protection locked="0"/>
    </xf>
    <xf numFmtId="0" fontId="82" fillId="6" borderId="31" xfId="23" applyFont="1" applyFill="1" applyBorder="1"/>
    <xf numFmtId="0" fontId="90" fillId="0" borderId="59" xfId="0" applyFont="1" applyFill="1" applyBorder="1" applyAlignment="1">
      <alignment horizontal="left" vertical="center"/>
    </xf>
    <xf numFmtId="0" fontId="87" fillId="0" borderId="52" xfId="0" applyFont="1" applyFill="1" applyBorder="1" applyAlignment="1">
      <alignment horizontal="center" vertical="center"/>
    </xf>
    <xf numFmtId="176" fontId="43" fillId="0" borderId="0" xfId="0" applyNumberFormat="1" applyFont="1" applyBorder="1" applyAlignment="1">
      <alignment horizontal="center" vertical="center"/>
    </xf>
    <xf numFmtId="176" fontId="30" fillId="0" borderId="0" xfId="0" applyNumberFormat="1" applyFont="1" applyFill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108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2" fontId="30" fillId="0" borderId="8" xfId="0" applyNumberFormat="1" applyFont="1" applyFill="1" applyBorder="1" applyAlignment="1">
      <alignment horizontal="right" vertical="center"/>
    </xf>
    <xf numFmtId="2" fontId="30" fillId="0" borderId="0" xfId="0" applyNumberFormat="1" applyFont="1" applyFill="1" applyBorder="1" applyAlignment="1">
      <alignment horizontal="right" vertical="center"/>
    </xf>
    <xf numFmtId="0" fontId="43" fillId="0" borderId="0" xfId="0" applyFont="1" applyBorder="1" applyAlignment="1">
      <alignment horizontal="left" vertical="center"/>
    </xf>
    <xf numFmtId="3" fontId="30" fillId="0" borderId="0" xfId="0" applyNumberFormat="1" applyFont="1" applyBorder="1" applyAlignment="1">
      <alignment horizontal="center" vertical="center"/>
    </xf>
    <xf numFmtId="2" fontId="30" fillId="0" borderId="0" xfId="0" applyNumberFormat="1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176" fontId="43" fillId="0" borderId="0" xfId="0" applyNumberFormat="1" applyFont="1" applyBorder="1" applyAlignment="1">
      <alignment horizontal="left" vertical="center"/>
    </xf>
    <xf numFmtId="3" fontId="30" fillId="0" borderId="0" xfId="0" applyNumberFormat="1" applyFont="1" applyBorder="1" applyAlignment="1">
      <alignment horizontal="left" vertical="center"/>
    </xf>
    <xf numFmtId="3" fontId="30" fillId="0" borderId="109" xfId="0" applyNumberFormat="1" applyFont="1" applyBorder="1" applyAlignment="1">
      <alignment horizontal="left" vertical="center"/>
    </xf>
    <xf numFmtId="0" fontId="30" fillId="0" borderId="113" xfId="0" applyFont="1" applyBorder="1" applyAlignment="1">
      <alignment horizontal="center" vertical="center"/>
    </xf>
    <xf numFmtId="176" fontId="30" fillId="0" borderId="16" xfId="0" applyNumberFormat="1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center" vertical="center"/>
    </xf>
    <xf numFmtId="176" fontId="30" fillId="0" borderId="109" xfId="0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111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3" fontId="30" fillId="0" borderId="19" xfId="0" applyNumberFormat="1" applyFont="1" applyBorder="1" applyAlignment="1">
      <alignment horizontal="center" vertical="center"/>
    </xf>
    <xf numFmtId="3" fontId="30" fillId="0" borderId="37" xfId="0" applyNumberFormat="1" applyFont="1" applyBorder="1" applyAlignment="1">
      <alignment horizontal="center" vertical="center"/>
    </xf>
    <xf numFmtId="3" fontId="30" fillId="0" borderId="44" xfId="0" applyNumberFormat="1" applyFont="1" applyBorder="1" applyAlignment="1">
      <alignment horizontal="center" vertical="center"/>
    </xf>
    <xf numFmtId="3" fontId="30" fillId="0" borderId="49" xfId="0" applyNumberFormat="1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88" xfId="0" applyFont="1" applyBorder="1" applyAlignment="1">
      <alignment horizontal="center" vertical="center"/>
    </xf>
    <xf numFmtId="0" fontId="30" fillId="0" borderId="112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19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31" xfId="0" applyNumberForma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15" fillId="0" borderId="0" xfId="0" applyFont="1" applyAlignment="1">
      <alignment horizontal="center"/>
    </xf>
    <xf numFmtId="196" fontId="51" fillId="0" borderId="0" xfId="0" applyNumberFormat="1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66" fillId="0" borderId="110" xfId="0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/>
    </xf>
    <xf numFmtId="0" fontId="66" fillId="0" borderId="35" xfId="0" applyFont="1" applyBorder="1" applyAlignment="1">
      <alignment horizontal="center" vertical="center"/>
    </xf>
    <xf numFmtId="0" fontId="66" fillId="0" borderId="36" xfId="0" applyFont="1" applyBorder="1" applyAlignment="1">
      <alignment horizontal="center" vertical="center"/>
    </xf>
    <xf numFmtId="176" fontId="66" fillId="0" borderId="0" xfId="0" applyNumberFormat="1" applyFont="1" applyFill="1" applyBorder="1" applyAlignment="1">
      <alignment horizontal="center" vertical="center"/>
    </xf>
    <xf numFmtId="176" fontId="104" fillId="0" borderId="0" xfId="0" applyNumberFormat="1" applyFont="1" applyBorder="1" applyAlignment="1">
      <alignment horizontal="center" vertical="center"/>
    </xf>
    <xf numFmtId="0" fontId="66" fillId="0" borderId="38" xfId="0" applyFont="1" applyBorder="1" applyAlignment="1">
      <alignment horizontal="center" vertical="center"/>
    </xf>
    <xf numFmtId="0" fontId="66" fillId="0" borderId="39" xfId="0" applyFont="1" applyBorder="1" applyAlignment="1">
      <alignment horizontal="center" vertical="center"/>
    </xf>
    <xf numFmtId="0" fontId="66" fillId="0" borderId="108" xfId="0" applyFont="1" applyBorder="1" applyAlignment="1">
      <alignment horizontal="center" vertical="center"/>
    </xf>
    <xf numFmtId="176" fontId="66" fillId="0" borderId="110" xfId="0" applyNumberFormat="1" applyFont="1" applyBorder="1" applyAlignment="1">
      <alignment horizontal="center" vertical="center"/>
    </xf>
    <xf numFmtId="3" fontId="66" fillId="0" borderId="31" xfId="0" applyNumberFormat="1" applyFont="1" applyBorder="1" applyAlignment="1">
      <alignment horizontal="center" vertical="center"/>
    </xf>
    <xf numFmtId="176" fontId="104" fillId="0" borderId="0" xfId="0" applyNumberFormat="1" applyFont="1" applyBorder="1" applyAlignment="1">
      <alignment horizontal="left" vertical="center"/>
    </xf>
    <xf numFmtId="3" fontId="66" fillId="0" borderId="0" xfId="0" applyNumberFormat="1" applyFont="1" applyBorder="1" applyAlignment="1">
      <alignment horizontal="left" vertical="center"/>
    </xf>
    <xf numFmtId="3" fontId="66" fillId="0" borderId="109" xfId="0" applyNumberFormat="1" applyFont="1" applyBorder="1" applyAlignment="1">
      <alignment horizontal="left" vertical="center"/>
    </xf>
    <xf numFmtId="3" fontId="66" fillId="0" borderId="20" xfId="0" applyNumberFormat="1" applyFont="1" applyBorder="1" applyAlignment="1">
      <alignment horizontal="center" vertical="center"/>
    </xf>
    <xf numFmtId="0" fontId="104" fillId="0" borderId="0" xfId="0" applyFont="1" applyBorder="1" applyAlignment="1">
      <alignment horizontal="left" vertical="center"/>
    </xf>
    <xf numFmtId="0" fontId="66" fillId="0" borderId="0" xfId="0" applyFont="1" applyBorder="1" applyAlignment="1">
      <alignment horizontal="center" vertical="center"/>
    </xf>
    <xf numFmtId="3" fontId="66" fillId="0" borderId="0" xfId="0" applyNumberFormat="1" applyFont="1" applyBorder="1" applyAlignment="1">
      <alignment horizontal="center" vertical="center"/>
    </xf>
    <xf numFmtId="2" fontId="66" fillId="0" borderId="0" xfId="0" applyNumberFormat="1" applyFont="1" applyBorder="1" applyAlignment="1">
      <alignment horizontal="center" vertical="center"/>
    </xf>
    <xf numFmtId="2" fontId="66" fillId="0" borderId="8" xfId="0" applyNumberFormat="1" applyFont="1" applyFill="1" applyBorder="1" applyAlignment="1">
      <alignment horizontal="right" vertical="center"/>
    </xf>
    <xf numFmtId="2" fontId="66" fillId="0" borderId="0" xfId="0" applyNumberFormat="1" applyFont="1" applyFill="1" applyBorder="1" applyAlignment="1">
      <alignment horizontal="right" vertical="center"/>
    </xf>
    <xf numFmtId="0" fontId="51" fillId="0" borderId="0" xfId="0" applyFont="1" applyBorder="1" applyAlignment="1">
      <alignment horizontal="right" vertical="center"/>
    </xf>
    <xf numFmtId="0" fontId="51" fillId="0" borderId="0" xfId="0" applyFont="1" applyBorder="1" applyAlignment="1">
      <alignment vertical="center"/>
    </xf>
    <xf numFmtId="0" fontId="80" fillId="4" borderId="4" xfId="26" applyFont="1" applyFill="1" applyBorder="1" applyAlignment="1">
      <alignment horizontal="center" vertical="center"/>
    </xf>
    <xf numFmtId="38" fontId="80" fillId="4" borderId="107" xfId="26" applyNumberFormat="1" applyFont="1" applyFill="1" applyBorder="1" applyAlignment="1">
      <alignment horizontal="center" vertical="center"/>
    </xf>
    <xf numFmtId="38" fontId="80" fillId="4" borderId="114" xfId="26" applyNumberFormat="1" applyFont="1" applyFill="1" applyBorder="1" applyAlignment="1">
      <alignment horizontal="center" vertical="center"/>
    </xf>
    <xf numFmtId="0" fontId="50" fillId="0" borderId="0" xfId="30" applyFont="1" applyFill="1" applyAlignment="1">
      <alignment horizontal="left" vertical="top" wrapText="1" indent="2"/>
    </xf>
    <xf numFmtId="0" fontId="50" fillId="0" borderId="0" xfId="30" applyFont="1" applyFill="1" applyBorder="1" applyAlignment="1">
      <alignment horizontal="left" vertical="top" wrapText="1" indent="2"/>
    </xf>
    <xf numFmtId="0" fontId="75" fillId="0" borderId="0" xfId="29" applyFont="1" applyAlignment="1">
      <alignment horizontal="center" vertical="center"/>
    </xf>
    <xf numFmtId="0" fontId="50" fillId="0" borderId="11" xfId="30" applyFont="1" applyFill="1" applyBorder="1" applyAlignment="1">
      <alignment horizontal="center" vertical="center"/>
    </xf>
    <xf numFmtId="0" fontId="50" fillId="0" borderId="0" xfId="30" applyFont="1" applyFill="1" applyBorder="1" applyAlignment="1">
      <alignment horizontal="left" vertical="center"/>
    </xf>
    <xf numFmtId="0" fontId="50" fillId="0" borderId="11" xfId="30" applyFont="1" applyFill="1" applyBorder="1" applyAlignment="1">
      <alignment horizontal="left" vertical="center"/>
    </xf>
    <xf numFmtId="41" fontId="70" fillId="7" borderId="35" xfId="12" applyFont="1" applyFill="1" applyBorder="1" applyAlignment="1">
      <alignment horizontal="center" vertical="center"/>
    </xf>
    <xf numFmtId="41" fontId="70" fillId="7" borderId="113" xfId="12" applyFont="1" applyFill="1" applyBorder="1" applyAlignment="1">
      <alignment horizontal="center" vertical="center"/>
    </xf>
    <xf numFmtId="0" fontId="70" fillId="7" borderId="36" xfId="12" applyNumberFormat="1" applyFont="1" applyFill="1" applyBorder="1" applyAlignment="1">
      <alignment horizontal="center" vertical="center"/>
    </xf>
    <xf numFmtId="0" fontId="70" fillId="7" borderId="20" xfId="12" applyNumberFormat="1" applyFont="1" applyFill="1" applyBorder="1" applyAlignment="1">
      <alignment horizontal="center" vertical="center"/>
    </xf>
    <xf numFmtId="0" fontId="70" fillId="0" borderId="24" xfId="31" applyNumberFormat="1" applyFont="1" applyBorder="1" applyAlignment="1">
      <alignment horizontal="center" vertical="center"/>
    </xf>
    <xf numFmtId="0" fontId="70" fillId="0" borderId="23" xfId="31" applyNumberFormat="1" applyFont="1" applyBorder="1" applyAlignment="1">
      <alignment horizontal="center" vertical="center"/>
    </xf>
    <xf numFmtId="0" fontId="68" fillId="0" borderId="5" xfId="22" applyNumberFormat="1" applyFont="1" applyBorder="1" applyAlignment="1">
      <alignment horizontal="left" vertical="center"/>
    </xf>
    <xf numFmtId="0" fontId="68" fillId="0" borderId="6" xfId="22" applyNumberFormat="1" applyFont="1" applyBorder="1" applyAlignment="1">
      <alignment horizontal="left" vertical="center"/>
    </xf>
    <xf numFmtId="0" fontId="68" fillId="0" borderId="7" xfId="22" applyNumberFormat="1" applyFont="1" applyBorder="1" applyAlignment="1">
      <alignment horizontal="left" vertical="center"/>
    </xf>
    <xf numFmtId="0" fontId="70" fillId="7" borderId="34" xfId="31" applyNumberFormat="1" applyFont="1" applyFill="1" applyBorder="1" applyAlignment="1">
      <alignment horizontal="center" vertical="center"/>
    </xf>
    <xf numFmtId="0" fontId="70" fillId="7" borderId="30" xfId="31" applyNumberFormat="1" applyFont="1" applyFill="1" applyBorder="1" applyAlignment="1">
      <alignment horizontal="center" vertical="center"/>
    </xf>
    <xf numFmtId="0" fontId="70" fillId="7" borderId="35" xfId="31" applyNumberFormat="1" applyFont="1" applyFill="1" applyBorder="1" applyAlignment="1">
      <alignment horizontal="center" vertical="center"/>
    </xf>
    <xf numFmtId="0" fontId="70" fillId="7" borderId="31" xfId="31" applyNumberFormat="1" applyFont="1" applyFill="1" applyBorder="1" applyAlignment="1">
      <alignment horizontal="center" vertical="center"/>
    </xf>
    <xf numFmtId="0" fontId="115" fillId="0" borderId="0" xfId="28" applyFont="1" applyAlignment="1">
      <alignment horizontal="center"/>
    </xf>
    <xf numFmtId="196" fontId="51" fillId="0" borderId="0" xfId="28" applyNumberFormat="1" applyFont="1" applyBorder="1" applyAlignment="1">
      <alignment horizontal="center" vertical="center"/>
    </xf>
    <xf numFmtId="0" fontId="51" fillId="0" borderId="0" xfId="28" applyFont="1" applyBorder="1" applyAlignment="1">
      <alignment horizontal="center" vertical="center"/>
    </xf>
    <xf numFmtId="41" fontId="80" fillId="0" borderId="24" xfId="12" applyFont="1" applyBorder="1" applyAlignment="1">
      <alignment horizontal="center" vertical="center"/>
    </xf>
    <xf numFmtId="41" fontId="80" fillId="0" borderId="23" xfId="12" applyFont="1" applyBorder="1" applyAlignment="1">
      <alignment horizontal="center" vertical="center"/>
    </xf>
    <xf numFmtId="41" fontId="47" fillId="0" borderId="26" xfId="12" applyFont="1" applyBorder="1" applyAlignment="1">
      <alignment vertical="center" shrinkToFit="1"/>
    </xf>
    <xf numFmtId="41" fontId="47" fillId="0" borderId="25" xfId="12" applyFont="1" applyBorder="1" applyAlignment="1">
      <alignment vertical="center" shrinkToFit="1"/>
    </xf>
    <xf numFmtId="41" fontId="47" fillId="0" borderId="43" xfId="12" applyFont="1" applyBorder="1" applyAlignment="1">
      <alignment vertical="center" shrinkToFit="1"/>
    </xf>
    <xf numFmtId="41" fontId="80" fillId="0" borderId="30" xfId="12" applyFont="1" applyBorder="1" applyAlignment="1">
      <alignment horizontal="center" vertical="center"/>
    </xf>
    <xf numFmtId="41" fontId="80" fillId="0" borderId="31" xfId="12" applyFont="1" applyBorder="1" applyAlignment="1">
      <alignment horizontal="center" vertical="center"/>
    </xf>
    <xf numFmtId="41" fontId="47" fillId="0" borderId="24" xfId="12" applyFont="1" applyBorder="1" applyAlignment="1">
      <alignment horizontal="center" vertical="center"/>
    </xf>
    <xf numFmtId="41" fontId="47" fillId="0" borderId="23" xfId="12" applyFont="1" applyBorder="1" applyAlignment="1">
      <alignment horizontal="center" vertical="center"/>
    </xf>
    <xf numFmtId="41" fontId="30" fillId="0" borderId="35" xfId="12" applyFont="1" applyBorder="1" applyAlignment="1">
      <alignment horizontal="center" vertical="center"/>
    </xf>
    <xf numFmtId="41" fontId="30" fillId="0" borderId="23" xfId="12" applyFont="1" applyBorder="1" applyAlignment="1">
      <alignment horizontal="center" vertical="center"/>
    </xf>
    <xf numFmtId="41" fontId="47" fillId="0" borderId="26" xfId="12" applyFont="1" applyBorder="1" applyAlignment="1">
      <alignment horizontal="left" vertical="center" shrinkToFit="1"/>
    </xf>
    <xf numFmtId="41" fontId="47" fillId="0" borderId="25" xfId="12" applyFont="1" applyBorder="1" applyAlignment="1">
      <alignment horizontal="left" vertical="center" shrinkToFit="1"/>
    </xf>
    <xf numFmtId="41" fontId="30" fillId="0" borderId="34" xfId="12" applyFont="1" applyBorder="1" applyAlignment="1">
      <alignment horizontal="center" vertical="center"/>
    </xf>
    <xf numFmtId="41" fontId="30" fillId="0" borderId="24" xfId="12" applyFont="1" applyBorder="1" applyAlignment="1">
      <alignment horizontal="center" vertical="center"/>
    </xf>
    <xf numFmtId="41" fontId="30" fillId="0" borderId="36" xfId="12" applyFont="1" applyBorder="1" applyAlignment="1">
      <alignment horizontal="center" vertical="center"/>
    </xf>
    <xf numFmtId="41" fontId="30" fillId="0" borderId="28" xfId="12" applyFont="1" applyBorder="1" applyAlignment="1">
      <alignment horizontal="center" vertical="center"/>
    </xf>
    <xf numFmtId="41" fontId="30" fillId="0" borderId="35" xfId="12" applyFont="1" applyBorder="1" applyAlignment="1">
      <alignment horizontal="center" vertical="center" shrinkToFit="1"/>
    </xf>
    <xf numFmtId="41" fontId="71" fillId="0" borderId="24" xfId="12" applyFont="1" applyBorder="1" applyAlignment="1">
      <alignment horizontal="left" vertical="center"/>
    </xf>
    <xf numFmtId="41" fontId="71" fillId="0" borderId="23" xfId="12" applyFont="1" applyBorder="1" applyAlignment="1">
      <alignment horizontal="left" vertical="center"/>
    </xf>
    <xf numFmtId="41" fontId="71" fillId="0" borderId="24" xfId="12" applyFont="1" applyBorder="1" applyAlignment="1">
      <alignment horizontal="center" vertical="center"/>
    </xf>
    <xf numFmtId="41" fontId="71" fillId="0" borderId="23" xfId="12" applyFont="1" applyBorder="1" applyAlignment="1">
      <alignment horizontal="center" vertical="center"/>
    </xf>
    <xf numFmtId="41" fontId="70" fillId="0" borderId="24" xfId="12" applyFont="1" applyBorder="1" applyAlignment="1">
      <alignment horizontal="left" vertical="center"/>
    </xf>
    <xf numFmtId="41" fontId="70" fillId="0" borderId="23" xfId="12" applyFont="1" applyBorder="1" applyAlignment="1">
      <alignment horizontal="left" vertical="center"/>
    </xf>
    <xf numFmtId="41" fontId="71" fillId="0" borderId="35" xfId="12" applyFont="1" applyBorder="1" applyAlignment="1">
      <alignment horizontal="center" vertical="center"/>
    </xf>
    <xf numFmtId="41" fontId="71" fillId="0" borderId="35" xfId="12" applyFont="1" applyBorder="1" applyAlignment="1">
      <alignment horizontal="center" vertical="center" shrinkToFit="1"/>
    </xf>
    <xf numFmtId="41" fontId="71" fillId="0" borderId="34" xfId="12" applyFont="1" applyBorder="1" applyAlignment="1">
      <alignment horizontal="center" vertical="center"/>
    </xf>
    <xf numFmtId="41" fontId="71" fillId="0" borderId="36" xfId="12" applyFont="1" applyBorder="1" applyAlignment="1">
      <alignment horizontal="center" vertical="center"/>
    </xf>
    <xf numFmtId="41" fontId="71" fillId="0" borderId="28" xfId="12" applyFont="1" applyBorder="1" applyAlignment="1">
      <alignment horizontal="center" vertical="center"/>
    </xf>
    <xf numFmtId="41" fontId="70" fillId="0" borderId="26" xfId="12" applyFont="1" applyBorder="1" applyAlignment="1">
      <alignment horizontal="center" vertical="center"/>
    </xf>
    <xf numFmtId="41" fontId="70" fillId="0" borderId="43" xfId="12" applyFont="1" applyBorder="1" applyAlignment="1">
      <alignment horizontal="center" vertical="center"/>
    </xf>
    <xf numFmtId="0" fontId="71" fillId="0" borderId="0" xfId="24" applyFont="1" applyAlignment="1">
      <alignment horizontal="center" vertical="center"/>
    </xf>
    <xf numFmtId="0" fontId="4" fillId="0" borderId="8" xfId="32" applyFont="1" applyBorder="1" applyAlignment="1">
      <alignment horizontal="center" vertical="center"/>
    </xf>
    <xf numFmtId="0" fontId="4" fillId="0" borderId="0" xfId="32" applyFont="1" applyBorder="1" applyAlignment="1">
      <alignment horizontal="center" vertical="center"/>
    </xf>
    <xf numFmtId="0" fontId="4" fillId="0" borderId="9" xfId="32" applyFont="1" applyBorder="1" applyAlignment="1">
      <alignment horizontal="center" vertical="center"/>
    </xf>
    <xf numFmtId="0" fontId="82" fillId="6" borderId="116" xfId="24" applyFont="1" applyFill="1" applyBorder="1" applyAlignment="1">
      <alignment horizontal="center" vertical="center"/>
    </xf>
    <xf numFmtId="0" fontId="82" fillId="6" borderId="21" xfId="24" applyFont="1" applyFill="1" applyBorder="1" applyAlignment="1">
      <alignment horizontal="center" vertical="center"/>
    </xf>
    <xf numFmtId="0" fontId="82" fillId="6" borderId="115" xfId="24" applyFont="1" applyFill="1" applyBorder="1" applyAlignment="1">
      <alignment horizontal="center" vertical="center"/>
    </xf>
    <xf numFmtId="0" fontId="82" fillId="6" borderId="22" xfId="24" applyFont="1" applyFill="1" applyBorder="1" applyAlignment="1">
      <alignment horizontal="center" vertical="center"/>
    </xf>
    <xf numFmtId="0" fontId="82" fillId="6" borderId="130" xfId="24" applyFont="1" applyFill="1" applyBorder="1" applyAlignment="1">
      <alignment horizontal="center" vertical="center"/>
    </xf>
    <xf numFmtId="0" fontId="82" fillId="6" borderId="27" xfId="24" applyFont="1" applyFill="1" applyBorder="1" applyAlignment="1">
      <alignment horizontal="center" vertical="center"/>
    </xf>
    <xf numFmtId="3" fontId="82" fillId="6" borderId="113" xfId="24" applyNumberFormat="1" applyFont="1" applyFill="1" applyBorder="1" applyAlignment="1">
      <alignment horizontal="center" vertical="center"/>
    </xf>
    <xf numFmtId="3" fontId="82" fillId="6" borderId="108" xfId="24" applyNumberFormat="1" applyFont="1" applyFill="1" applyBorder="1" applyAlignment="1">
      <alignment horizontal="center" vertical="center"/>
    </xf>
    <xf numFmtId="41" fontId="82" fillId="6" borderId="113" xfId="12" applyFont="1" applyFill="1" applyBorder="1" applyAlignment="1">
      <alignment horizontal="center" vertical="center"/>
    </xf>
    <xf numFmtId="41" fontId="82" fillId="6" borderId="108" xfId="12" applyFont="1" applyFill="1" applyBorder="1" applyAlignment="1">
      <alignment horizontal="center" vertical="center"/>
    </xf>
    <xf numFmtId="0" fontId="82" fillId="6" borderId="116" xfId="25" applyFont="1" applyFill="1" applyBorder="1" applyAlignment="1">
      <alignment horizontal="center" vertical="center"/>
    </xf>
    <xf numFmtId="0" fontId="82" fillId="6" borderId="21" xfId="25" applyFont="1" applyFill="1" applyBorder="1" applyAlignment="1">
      <alignment horizontal="center" vertical="center"/>
    </xf>
    <xf numFmtId="0" fontId="82" fillId="6" borderId="115" xfId="25" applyFont="1" applyFill="1" applyBorder="1" applyAlignment="1">
      <alignment horizontal="center" vertical="center"/>
    </xf>
    <xf numFmtId="0" fontId="82" fillId="6" borderId="22" xfId="25" applyFont="1" applyFill="1" applyBorder="1" applyAlignment="1">
      <alignment horizontal="center" vertical="center"/>
    </xf>
    <xf numFmtId="0" fontId="82" fillId="6" borderId="130" xfId="25" applyFont="1" applyFill="1" applyBorder="1" applyAlignment="1">
      <alignment horizontal="center" vertical="center"/>
    </xf>
    <xf numFmtId="0" fontId="82" fillId="6" borderId="27" xfId="25" applyFont="1" applyFill="1" applyBorder="1" applyAlignment="1">
      <alignment horizontal="center" vertical="center"/>
    </xf>
    <xf numFmtId="3" fontId="82" fillId="6" borderId="113" xfId="25" applyNumberFormat="1" applyFont="1" applyFill="1" applyBorder="1" applyAlignment="1">
      <alignment horizontal="center" vertical="center"/>
    </xf>
    <xf numFmtId="3" fontId="82" fillId="6" borderId="108" xfId="25" applyNumberFormat="1" applyFont="1" applyFill="1" applyBorder="1" applyAlignment="1">
      <alignment horizontal="center" vertical="center"/>
    </xf>
    <xf numFmtId="0" fontId="82" fillId="6" borderId="116" xfId="23" applyFont="1" applyFill="1" applyBorder="1" applyAlignment="1">
      <alignment horizontal="center" vertical="center"/>
    </xf>
    <xf numFmtId="0" fontId="82" fillId="6" borderId="21" xfId="23" applyFont="1" applyFill="1" applyBorder="1" applyAlignment="1">
      <alignment horizontal="center" vertical="center"/>
    </xf>
    <xf numFmtId="0" fontId="82" fillId="6" borderId="115" xfId="23" applyFont="1" applyFill="1" applyBorder="1" applyAlignment="1">
      <alignment horizontal="center" vertical="center"/>
    </xf>
    <xf numFmtId="0" fontId="82" fillId="6" borderId="22" xfId="23" applyFont="1" applyFill="1" applyBorder="1" applyAlignment="1">
      <alignment horizontal="center" vertical="center"/>
    </xf>
    <xf numFmtId="0" fontId="82" fillId="6" borderId="130" xfId="23" applyFont="1" applyFill="1" applyBorder="1" applyAlignment="1">
      <alignment horizontal="center" vertical="center"/>
    </xf>
    <xf numFmtId="0" fontId="82" fillId="6" borderId="27" xfId="23" applyFont="1" applyFill="1" applyBorder="1" applyAlignment="1">
      <alignment horizontal="center" vertical="center"/>
    </xf>
    <xf numFmtId="3" fontId="82" fillId="6" borderId="113" xfId="23" applyNumberFormat="1" applyFont="1" applyFill="1" applyBorder="1" applyAlignment="1">
      <alignment horizontal="center" vertical="center"/>
    </xf>
    <xf numFmtId="3" fontId="82" fillId="6" borderId="108" xfId="23" applyNumberFormat="1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66" fillId="5" borderId="35" xfId="0" applyFont="1" applyFill="1" applyBorder="1" applyAlignment="1">
      <alignment horizontal="center" vertical="center"/>
    </xf>
    <xf numFmtId="0" fontId="66" fillId="5" borderId="31" xfId="0" applyFont="1" applyFill="1" applyBorder="1" applyAlignment="1">
      <alignment horizontal="center" vertical="center"/>
    </xf>
    <xf numFmtId="0" fontId="66" fillId="5" borderId="115" xfId="0" applyFont="1" applyFill="1" applyBorder="1" applyAlignment="1">
      <alignment horizontal="center" vertical="center"/>
    </xf>
    <xf numFmtId="0" fontId="66" fillId="5" borderId="51" xfId="0" applyFont="1" applyFill="1" applyBorder="1" applyAlignment="1">
      <alignment horizontal="center" vertical="center"/>
    </xf>
    <xf numFmtId="0" fontId="66" fillId="5" borderId="36" xfId="0" applyFont="1" applyFill="1" applyBorder="1" applyAlignment="1">
      <alignment horizontal="center" vertical="center"/>
    </xf>
    <xf numFmtId="0" fontId="66" fillId="5" borderId="116" xfId="0" applyFont="1" applyFill="1" applyBorder="1" applyAlignment="1">
      <alignment horizontal="center" vertical="center"/>
    </xf>
    <xf numFmtId="0" fontId="66" fillId="5" borderId="117" xfId="0" applyFont="1" applyFill="1" applyBorder="1" applyAlignment="1">
      <alignment horizontal="center" vertical="center"/>
    </xf>
    <xf numFmtId="0" fontId="66" fillId="5" borderId="34" xfId="35" applyFont="1" applyFill="1" applyBorder="1" applyAlignment="1">
      <alignment horizontal="center" vertical="center"/>
    </xf>
    <xf numFmtId="0" fontId="66" fillId="5" borderId="30" xfId="35" applyFont="1" applyFill="1" applyBorder="1" applyAlignment="1">
      <alignment horizontal="center" vertical="center"/>
    </xf>
    <xf numFmtId="0" fontId="66" fillId="5" borderId="35" xfId="35" applyFont="1" applyFill="1" applyBorder="1" applyAlignment="1">
      <alignment horizontal="center" vertical="center"/>
    </xf>
    <xf numFmtId="0" fontId="66" fillId="5" borderId="31" xfId="35" applyFont="1" applyFill="1" applyBorder="1" applyAlignment="1">
      <alignment horizontal="center" vertical="center"/>
    </xf>
    <xf numFmtId="0" fontId="66" fillId="5" borderId="115" xfId="35" applyFont="1" applyFill="1" applyBorder="1" applyAlignment="1">
      <alignment horizontal="center" vertical="center"/>
    </xf>
    <xf numFmtId="0" fontId="66" fillId="5" borderId="51" xfId="35" applyFont="1" applyFill="1" applyBorder="1" applyAlignment="1">
      <alignment horizontal="center" vertical="center"/>
    </xf>
    <xf numFmtId="0" fontId="66" fillId="5" borderId="36" xfId="35" applyFont="1" applyFill="1" applyBorder="1" applyAlignment="1">
      <alignment horizontal="center" vertical="center"/>
    </xf>
    <xf numFmtId="0" fontId="66" fillId="5" borderId="113" xfId="35" applyFont="1" applyFill="1" applyBorder="1" applyAlignment="1">
      <alignment horizontal="center" vertical="center"/>
    </xf>
    <xf numFmtId="0" fontId="66" fillId="5" borderId="40" xfId="35" applyFont="1" applyFill="1" applyBorder="1" applyAlignment="1">
      <alignment horizontal="center" vertical="center"/>
    </xf>
    <xf numFmtId="0" fontId="66" fillId="5" borderId="116" xfId="35" applyFont="1" applyFill="1" applyBorder="1" applyAlignment="1">
      <alignment horizontal="center" vertical="center"/>
    </xf>
    <xf numFmtId="0" fontId="66" fillId="5" borderId="117" xfId="35" applyFont="1" applyFill="1" applyBorder="1" applyAlignment="1">
      <alignment horizontal="center" vertical="center"/>
    </xf>
    <xf numFmtId="0" fontId="66" fillId="5" borderId="108" xfId="35" applyFont="1" applyFill="1" applyBorder="1" applyAlignment="1">
      <alignment horizontal="center" vertical="center"/>
    </xf>
    <xf numFmtId="0" fontId="66" fillId="5" borderId="34" xfId="0" applyFont="1" applyFill="1" applyBorder="1" applyAlignment="1">
      <alignment horizontal="center" vertical="center"/>
    </xf>
    <xf numFmtId="0" fontId="66" fillId="5" borderId="30" xfId="0" applyFont="1" applyFill="1" applyBorder="1" applyAlignment="1">
      <alignment horizontal="center" vertical="center"/>
    </xf>
    <xf numFmtId="0" fontId="88" fillId="0" borderId="120" xfId="0" quotePrefix="1" applyFont="1" applyBorder="1" applyAlignment="1">
      <alignment horizontal="center" vertical="center"/>
    </xf>
    <xf numFmtId="0" fontId="88" fillId="0" borderId="12" xfId="0" quotePrefix="1" applyFont="1" applyBorder="1" applyAlignment="1">
      <alignment horizontal="center" vertical="center"/>
    </xf>
    <xf numFmtId="0" fontId="87" fillId="0" borderId="85" xfId="0" applyFont="1" applyBorder="1" applyAlignment="1">
      <alignment horizontal="center" vertical="center"/>
    </xf>
    <xf numFmtId="0" fontId="87" fillId="0" borderId="84" xfId="0" applyFont="1" applyBorder="1" applyAlignment="1">
      <alignment horizontal="center" vertical="center"/>
    </xf>
    <xf numFmtId="0" fontId="87" fillId="0" borderId="121" xfId="0" applyFont="1" applyBorder="1" applyAlignment="1">
      <alignment horizontal="center" vertical="center"/>
    </xf>
    <xf numFmtId="0" fontId="87" fillId="0" borderId="57" xfId="0" applyFont="1" applyBorder="1" applyAlignment="1">
      <alignment horizontal="center" vertic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center"/>
    </xf>
    <xf numFmtId="0" fontId="87" fillId="0" borderId="118" xfId="0" applyFont="1" applyBorder="1" applyAlignment="1">
      <alignment horizontal="center" vertical="center"/>
    </xf>
    <xf numFmtId="0" fontId="87" fillId="0" borderId="119" xfId="0" applyFont="1" applyBorder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0" fillId="0" borderId="66" xfId="0" applyFont="1" applyBorder="1" applyAlignment="1">
      <alignment horizontal="center" vertical="center"/>
    </xf>
    <xf numFmtId="0" fontId="90" fillId="0" borderId="122" xfId="0" applyFont="1" applyBorder="1" applyAlignment="1">
      <alignment horizontal="center" vertical="center"/>
    </xf>
    <xf numFmtId="0" fontId="90" fillId="0" borderId="107" xfId="0" applyFont="1" applyBorder="1" applyAlignment="1">
      <alignment horizontal="center" vertical="center"/>
    </xf>
    <xf numFmtId="0" fontId="90" fillId="0" borderId="114" xfId="0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120" xfId="0" applyFont="1" applyBorder="1" applyAlignment="1">
      <alignment vertical="center"/>
    </xf>
    <xf numFmtId="0" fontId="93" fillId="0" borderId="11" xfId="0" applyFont="1" applyBorder="1" applyAlignment="1">
      <alignment vertical="center"/>
    </xf>
    <xf numFmtId="0" fontId="93" fillId="0" borderId="123" xfId="0" applyFont="1" applyBorder="1" applyAlignment="1">
      <alignment vertical="center"/>
    </xf>
    <xf numFmtId="0" fontId="93" fillId="0" borderId="68" xfId="0" applyFont="1" applyBorder="1" applyAlignment="1">
      <alignment vertical="center"/>
    </xf>
    <xf numFmtId="0" fontId="93" fillId="0" borderId="69" xfId="0" applyFont="1" applyBorder="1" applyAlignment="1">
      <alignment vertical="center"/>
    </xf>
    <xf numFmtId="0" fontId="93" fillId="0" borderId="11" xfId="0" applyFont="1" applyBorder="1" applyAlignment="1"/>
    <xf numFmtId="0" fontId="93" fillId="0" borderId="123" xfId="0" applyFont="1" applyBorder="1" applyAlignment="1"/>
    <xf numFmtId="0" fontId="93" fillId="0" borderId="73" xfId="0" applyFont="1" applyBorder="1" applyAlignment="1">
      <alignment vertical="center"/>
    </xf>
    <xf numFmtId="41" fontId="94" fillId="0" borderId="48" xfId="12" applyFont="1" applyBorder="1" applyAlignment="1">
      <alignment horizontal="center" vertical="center"/>
    </xf>
    <xf numFmtId="41" fontId="94" fillId="0" borderId="0" xfId="12" applyFont="1" applyBorder="1" applyAlignment="1">
      <alignment horizontal="center" vertical="center"/>
    </xf>
    <xf numFmtId="41" fontId="94" fillId="0" borderId="71" xfId="12" applyFont="1" applyBorder="1" applyAlignment="1">
      <alignment horizontal="center" vertical="center"/>
    </xf>
    <xf numFmtId="0" fontId="93" fillId="0" borderId="48" xfId="0" applyFont="1" applyBorder="1" applyAlignment="1">
      <alignment horizontal="center"/>
    </xf>
    <xf numFmtId="0" fontId="93" fillId="0" borderId="0" xfId="0" applyFont="1" applyBorder="1" applyAlignment="1">
      <alignment horizontal="center"/>
    </xf>
    <xf numFmtId="0" fontId="95" fillId="0" borderId="73" xfId="0" applyFont="1" applyBorder="1" applyAlignment="1">
      <alignment horizontal="center" vertical="center"/>
    </xf>
    <xf numFmtId="213" fontId="52" fillId="0" borderId="24" xfId="0" applyNumberFormat="1" applyFont="1" applyBorder="1" applyAlignment="1">
      <alignment horizontal="right" vertical="center"/>
    </xf>
    <xf numFmtId="213" fontId="52" fillId="0" borderId="23" xfId="0" applyNumberFormat="1" applyFont="1" applyBorder="1" applyAlignment="1">
      <alignment horizontal="right" vertical="center"/>
    </xf>
    <xf numFmtId="213" fontId="52" fillId="0" borderId="28" xfId="0" applyNumberFormat="1" applyFont="1" applyBorder="1" applyAlignment="1">
      <alignment horizontal="right" vertical="center"/>
    </xf>
    <xf numFmtId="213" fontId="52" fillId="0" borderId="41" xfId="0" applyNumberFormat="1" applyFont="1" applyBorder="1" applyAlignment="1">
      <alignment horizontal="right" vertical="center"/>
    </xf>
    <xf numFmtId="213" fontId="52" fillId="0" borderId="42" xfId="0" applyNumberFormat="1" applyFont="1" applyBorder="1" applyAlignment="1">
      <alignment horizontal="right" vertical="center"/>
    </xf>
    <xf numFmtId="213" fontId="52" fillId="0" borderId="15" xfId="0" applyNumberFormat="1" applyFont="1" applyBorder="1" applyAlignment="1">
      <alignment horizontal="right" vertical="center"/>
    </xf>
    <xf numFmtId="0" fontId="88" fillId="8" borderId="24" xfId="37" applyFont="1" applyFill="1" applyBorder="1" applyAlignment="1">
      <alignment horizontal="left" vertical="center"/>
    </xf>
    <xf numFmtId="0" fontId="88" fillId="8" borderId="23" xfId="37" applyFont="1" applyFill="1" applyBorder="1" applyAlignment="1">
      <alignment horizontal="left" vertical="center"/>
    </xf>
    <xf numFmtId="0" fontId="88" fillId="0" borderId="24" xfId="37" applyFont="1" applyFill="1" applyBorder="1" applyAlignment="1">
      <alignment horizontal="left" vertical="center"/>
    </xf>
    <xf numFmtId="0" fontId="88" fillId="0" borderId="23" xfId="37" applyFont="1" applyFill="1" applyBorder="1" applyAlignment="1">
      <alignment horizontal="left" vertical="center"/>
    </xf>
    <xf numFmtId="0" fontId="88" fillId="8" borderId="34" xfId="37" applyFont="1" applyFill="1" applyBorder="1" applyAlignment="1">
      <alignment horizontal="left" vertical="center"/>
    </xf>
    <xf numFmtId="0" fontId="88" fillId="8" borderId="35" xfId="37" applyFont="1" applyFill="1" applyBorder="1" applyAlignment="1">
      <alignment horizontal="left" vertical="center"/>
    </xf>
    <xf numFmtId="0" fontId="108" fillId="0" borderId="115" xfId="37" applyFont="1" applyFill="1" applyBorder="1" applyAlignment="1">
      <alignment horizontal="center" vertical="center"/>
    </xf>
    <xf numFmtId="0" fontId="108" fillId="0" borderId="22" xfId="37" applyFont="1" applyFill="1" applyBorder="1" applyAlignment="1">
      <alignment horizontal="center" vertical="center"/>
    </xf>
    <xf numFmtId="178" fontId="108" fillId="0" borderId="115" xfId="15" applyFont="1" applyFill="1" applyBorder="1" applyAlignment="1">
      <alignment horizontal="center" vertical="center"/>
    </xf>
    <xf numFmtId="178" fontId="108" fillId="0" borderId="22" xfId="15" applyFont="1" applyFill="1" applyBorder="1" applyAlignment="1">
      <alignment horizontal="center" vertical="center"/>
    </xf>
    <xf numFmtId="41" fontId="108" fillId="0" borderId="113" xfId="37" applyNumberFormat="1" applyFont="1" applyFill="1" applyBorder="1" applyAlignment="1">
      <alignment horizontal="center" vertical="center"/>
    </xf>
    <xf numFmtId="41" fontId="108" fillId="0" borderId="108" xfId="37" applyNumberFormat="1" applyFont="1" applyFill="1" applyBorder="1" applyAlignment="1">
      <alignment horizontal="center" vertical="center"/>
    </xf>
    <xf numFmtId="213" fontId="52" fillId="0" borderId="26" xfId="0" applyNumberFormat="1" applyFont="1" applyBorder="1" applyAlignment="1">
      <alignment horizontal="right" vertical="center"/>
    </xf>
    <xf numFmtId="213" fontId="52" fillId="0" borderId="25" xfId="0" applyNumberFormat="1" applyFont="1" applyBorder="1" applyAlignment="1">
      <alignment horizontal="right" vertical="center"/>
    </xf>
    <xf numFmtId="213" fontId="52" fillId="0" borderId="29" xfId="0" applyNumberFormat="1" applyFont="1" applyBorder="1" applyAlignment="1">
      <alignment horizontal="right" vertical="center"/>
    </xf>
    <xf numFmtId="0" fontId="88" fillId="8" borderId="26" xfId="37" applyFont="1" applyFill="1" applyBorder="1" applyAlignment="1">
      <alignment horizontal="left" vertical="center"/>
    </xf>
    <xf numFmtId="0" fontId="88" fillId="8" borderId="25" xfId="37" applyFont="1" applyFill="1" applyBorder="1" applyAlignment="1">
      <alignment horizontal="left" vertical="center"/>
    </xf>
    <xf numFmtId="0" fontId="88" fillId="8" borderId="43" xfId="37" applyFont="1" applyFill="1" applyBorder="1" applyAlignment="1">
      <alignment horizontal="left" vertical="center"/>
    </xf>
    <xf numFmtId="0" fontId="108" fillId="0" borderId="116" xfId="37" applyFont="1" applyFill="1" applyBorder="1" applyAlignment="1">
      <alignment horizontal="center" vertical="center"/>
    </xf>
    <xf numFmtId="0" fontId="108" fillId="0" borderId="21" xfId="37" applyFont="1" applyFill="1" applyBorder="1" applyAlignment="1">
      <alignment horizontal="center" vertical="center"/>
    </xf>
    <xf numFmtId="0" fontId="105" fillId="5" borderId="0" xfId="0" applyFont="1" applyFill="1" applyAlignment="1">
      <alignment horizontal="center" vertical="center"/>
    </xf>
    <xf numFmtId="0" fontId="111" fillId="0" borderId="0" xfId="0" applyFont="1" applyBorder="1" applyAlignment="1">
      <alignment horizontal="center" vertical="center"/>
    </xf>
    <xf numFmtId="41" fontId="52" fillId="2" borderId="85" xfId="12" applyFont="1" applyFill="1" applyBorder="1" applyAlignment="1">
      <alignment horizontal="center" vertical="center"/>
    </xf>
    <xf numFmtId="0" fontId="52" fillId="2" borderId="84" xfId="0" applyFont="1" applyFill="1" applyBorder="1" applyAlignment="1">
      <alignment horizontal="center" vertical="center"/>
    </xf>
    <xf numFmtId="0" fontId="52" fillId="2" borderId="61" xfId="0" applyFont="1" applyFill="1" applyBorder="1" applyAlignment="1">
      <alignment horizontal="center" vertical="center"/>
    </xf>
    <xf numFmtId="0" fontId="52" fillId="2" borderId="125" xfId="0" applyFont="1" applyFill="1" applyBorder="1" applyAlignment="1">
      <alignment horizontal="center" vertical="center"/>
    </xf>
    <xf numFmtId="0" fontId="52" fillId="2" borderId="126" xfId="0" applyFont="1" applyFill="1" applyBorder="1" applyAlignment="1">
      <alignment horizontal="center" vertical="center"/>
    </xf>
    <xf numFmtId="0" fontId="52" fillId="2" borderId="85" xfId="0" applyFont="1" applyFill="1" applyBorder="1" applyAlignment="1">
      <alignment horizontal="center" vertical="center"/>
    </xf>
    <xf numFmtId="0" fontId="52" fillId="2" borderId="62" xfId="0" applyFont="1" applyFill="1" applyBorder="1" applyAlignment="1">
      <alignment horizontal="center" vertical="center"/>
    </xf>
    <xf numFmtId="41" fontId="52" fillId="2" borderId="62" xfId="12" applyFont="1" applyFill="1" applyBorder="1" applyAlignment="1">
      <alignment horizontal="center" vertical="center"/>
    </xf>
    <xf numFmtId="41" fontId="52" fillId="2" borderId="118" xfId="12" applyFont="1" applyFill="1" applyBorder="1" applyAlignment="1">
      <alignment horizontal="center" vertical="center"/>
    </xf>
    <xf numFmtId="41" fontId="52" fillId="2" borderId="63" xfId="12" applyFont="1" applyFill="1" applyBorder="1" applyAlignment="1">
      <alignment horizontal="center" vertical="center"/>
    </xf>
    <xf numFmtId="41" fontId="71" fillId="0" borderId="124" xfId="12" applyFont="1" applyBorder="1" applyAlignment="1">
      <alignment horizontal="left" vertical="center"/>
    </xf>
    <xf numFmtId="41" fontId="71" fillId="0" borderId="89" xfId="12" applyFont="1" applyBorder="1" applyAlignment="1">
      <alignment horizontal="left" vertical="center"/>
    </xf>
    <xf numFmtId="41" fontId="71" fillId="0" borderId="91" xfId="12" applyFont="1" applyBorder="1" applyAlignment="1">
      <alignment horizontal="left" vertical="center"/>
    </xf>
    <xf numFmtId="41" fontId="70" fillId="2" borderId="85" xfId="12" applyFont="1" applyFill="1" applyBorder="1" applyAlignment="1">
      <alignment horizontal="center" vertical="center"/>
    </xf>
    <xf numFmtId="41" fontId="98" fillId="0" borderId="91" xfId="12" applyFont="1" applyFill="1" applyBorder="1" applyAlignment="1">
      <alignment horizontal="left" vertical="center"/>
    </xf>
    <xf numFmtId="0" fontId="70" fillId="2" borderId="84" xfId="0" applyFont="1" applyFill="1" applyBorder="1" applyAlignment="1">
      <alignment horizontal="center" vertical="center"/>
    </xf>
    <xf numFmtId="0" fontId="70" fillId="2" borderId="61" xfId="0" applyFont="1" applyFill="1" applyBorder="1" applyAlignment="1">
      <alignment horizontal="center" vertical="center"/>
    </xf>
    <xf numFmtId="0" fontId="70" fillId="2" borderId="85" xfId="0" applyFont="1" applyFill="1" applyBorder="1" applyAlignment="1">
      <alignment horizontal="center" vertical="center"/>
    </xf>
    <xf numFmtId="0" fontId="70" fillId="2" borderId="62" xfId="0" applyFont="1" applyFill="1" applyBorder="1" applyAlignment="1">
      <alignment horizontal="center" vertical="center"/>
    </xf>
    <xf numFmtId="41" fontId="70" fillId="2" borderId="62" xfId="12" applyFont="1" applyFill="1" applyBorder="1" applyAlignment="1">
      <alignment horizontal="center" vertical="center"/>
    </xf>
    <xf numFmtId="41" fontId="70" fillId="2" borderId="118" xfId="12" applyFont="1" applyFill="1" applyBorder="1" applyAlignment="1">
      <alignment horizontal="center" vertical="center"/>
    </xf>
    <xf numFmtId="41" fontId="70" fillId="2" borderId="63" xfId="12" applyFont="1" applyFill="1" applyBorder="1" applyAlignment="1">
      <alignment horizontal="center" vertical="center"/>
    </xf>
    <xf numFmtId="0" fontId="70" fillId="2" borderId="64" xfId="0" applyFont="1" applyFill="1" applyBorder="1" applyAlignment="1">
      <alignment horizontal="center" vertical="center"/>
    </xf>
    <xf numFmtId="0" fontId="70" fillId="2" borderId="4" xfId="0" applyFont="1" applyFill="1" applyBorder="1" applyAlignment="1">
      <alignment horizontal="center" vertical="center"/>
    </xf>
    <xf numFmtId="41" fontId="70" fillId="2" borderId="4" xfId="12" applyFont="1" applyFill="1" applyBorder="1" applyAlignment="1">
      <alignment horizontal="center" vertical="center"/>
    </xf>
    <xf numFmtId="41" fontId="70" fillId="2" borderId="60" xfId="12" applyFont="1" applyFill="1" applyBorder="1" applyAlignment="1">
      <alignment horizontal="center" vertical="center"/>
    </xf>
    <xf numFmtId="0" fontId="98" fillId="0" borderId="8" xfId="0" applyFont="1" applyFill="1" applyBorder="1" applyAlignment="1">
      <alignment horizontal="left" vertical="center"/>
    </xf>
    <xf numFmtId="0" fontId="98" fillId="0" borderId="0" xfId="0" applyFont="1" applyFill="1" applyBorder="1" applyAlignment="1">
      <alignment horizontal="left" vertical="center"/>
    </xf>
    <xf numFmtId="0" fontId="98" fillId="0" borderId="9" xfId="0" applyFont="1" applyFill="1" applyBorder="1" applyAlignment="1">
      <alignment horizontal="left" vertical="center"/>
    </xf>
    <xf numFmtId="0" fontId="98" fillId="0" borderId="75" xfId="0" applyFont="1" applyFill="1" applyBorder="1" applyAlignment="1">
      <alignment horizontal="center" vertical="center" wrapText="1"/>
    </xf>
    <xf numFmtId="0" fontId="98" fillId="0" borderId="75" xfId="0" applyFont="1" applyFill="1" applyBorder="1" applyAlignment="1">
      <alignment horizontal="center" vertical="center"/>
    </xf>
    <xf numFmtId="0" fontId="98" fillId="0" borderId="48" xfId="0" applyFont="1" applyFill="1" applyBorder="1" applyAlignment="1">
      <alignment horizontal="left" vertical="center"/>
    </xf>
    <xf numFmtId="0" fontId="97" fillId="0" borderId="0" xfId="0" applyFont="1" applyAlignment="1">
      <alignment horizontal="center" vertical="center"/>
    </xf>
    <xf numFmtId="0" fontId="100" fillId="7" borderId="85" xfId="0" applyFont="1" applyFill="1" applyBorder="1" applyAlignment="1">
      <alignment horizontal="center" vertical="center"/>
    </xf>
    <xf numFmtId="0" fontId="98" fillId="0" borderId="124" xfId="0" applyFont="1" applyFill="1" applyBorder="1" applyAlignment="1">
      <alignment horizontal="center" vertical="center" wrapText="1"/>
    </xf>
    <xf numFmtId="0" fontId="98" fillId="0" borderId="89" xfId="0" applyFont="1" applyFill="1" applyBorder="1" applyAlignment="1">
      <alignment horizontal="center" vertical="center"/>
    </xf>
    <xf numFmtId="0" fontId="98" fillId="0" borderId="45" xfId="0" applyFont="1" applyFill="1" applyBorder="1" applyAlignment="1">
      <alignment horizontal="center" vertical="center"/>
    </xf>
    <xf numFmtId="0" fontId="98" fillId="0" borderId="46" xfId="0" applyFont="1" applyFill="1" applyBorder="1" applyAlignment="1">
      <alignment horizontal="center" vertical="center"/>
    </xf>
    <xf numFmtId="0" fontId="98" fillId="0" borderId="124" xfId="0" applyFont="1" applyFill="1" applyBorder="1" applyAlignment="1">
      <alignment horizontal="center" vertical="center"/>
    </xf>
    <xf numFmtId="0" fontId="98" fillId="0" borderId="8" xfId="0" applyFont="1" applyFill="1" applyBorder="1" applyAlignment="1">
      <alignment horizontal="center" vertical="center"/>
    </xf>
    <xf numFmtId="0" fontId="98" fillId="0" borderId="0" xfId="0" applyFont="1" applyFill="1" applyBorder="1" applyAlignment="1">
      <alignment horizontal="center" vertical="center"/>
    </xf>
    <xf numFmtId="0" fontId="98" fillId="0" borderId="13" xfId="0" applyFont="1" applyFill="1" applyBorder="1" applyAlignment="1">
      <alignment horizontal="center" vertical="center"/>
    </xf>
    <xf numFmtId="0" fontId="98" fillId="0" borderId="88" xfId="0" applyFont="1" applyFill="1" applyBorder="1" applyAlignment="1">
      <alignment horizontal="center" vertical="center"/>
    </xf>
    <xf numFmtId="0" fontId="98" fillId="0" borderId="127" xfId="0" applyFont="1" applyBorder="1" applyAlignment="1">
      <alignment horizontal="center" vertical="center"/>
    </xf>
    <xf numFmtId="0" fontId="98" fillId="0" borderId="75" xfId="0" applyFont="1" applyBorder="1" applyAlignment="1">
      <alignment horizontal="center" vertical="center"/>
    </xf>
    <xf numFmtId="0" fontId="98" fillId="0" borderId="89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16" fillId="0" borderId="6" xfId="0" applyFont="1" applyBorder="1" applyAlignment="1">
      <alignment horizontal="right"/>
    </xf>
    <xf numFmtId="0" fontId="48" fillId="0" borderId="36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41" fillId="5" borderId="0" xfId="0" applyFont="1" applyFill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0" fillId="0" borderId="110" xfId="0" applyFont="1" applyBorder="1" applyAlignment="1">
      <alignment horizontal="center" vertical="center"/>
    </xf>
    <xf numFmtId="176" fontId="30" fillId="0" borderId="110" xfId="0" applyNumberFormat="1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3" fontId="30" fillId="0" borderId="31" xfId="0" applyNumberFormat="1" applyFont="1" applyBorder="1" applyAlignment="1">
      <alignment horizontal="center" vertical="center"/>
    </xf>
    <xf numFmtId="3" fontId="30" fillId="0" borderId="20" xfId="0" applyNumberFormat="1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39" fillId="0" borderId="11" xfId="0" applyFont="1" applyBorder="1" applyAlignment="1">
      <alignment horizontal="center" vertical="top"/>
    </xf>
    <xf numFmtId="3" fontId="0" fillId="0" borderId="36" xfId="0" applyNumberFormat="1" applyBorder="1" applyAlignment="1">
      <alignment horizontal="center" vertical="center"/>
    </xf>
    <xf numFmtId="196" fontId="0" fillId="0" borderId="33" xfId="0" applyNumberFormat="1" applyBorder="1" applyAlignment="1">
      <alignment horizontal="center" vertical="center"/>
    </xf>
    <xf numFmtId="196" fontId="0" fillId="0" borderId="43" xfId="0" applyNumberFormat="1" applyBorder="1" applyAlignment="1">
      <alignment horizontal="center" vertical="center"/>
    </xf>
    <xf numFmtId="196" fontId="0" fillId="0" borderId="31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57" fillId="0" borderId="11" xfId="0" applyFont="1" applyBorder="1" applyAlignment="1">
      <alignment horizontal="center" vertical="top"/>
    </xf>
    <xf numFmtId="0" fontId="0" fillId="0" borderId="113" xfId="0" applyBorder="1" applyAlignment="1">
      <alignment horizontal="center" vertical="center"/>
    </xf>
    <xf numFmtId="196" fontId="0" fillId="0" borderId="19" xfId="0" applyNumberFormat="1" applyBorder="1" applyAlignment="1">
      <alignment horizontal="center" vertical="center"/>
    </xf>
    <xf numFmtId="196" fontId="0" fillId="0" borderId="44" xfId="0" applyNumberFormat="1" applyBorder="1" applyAlignment="1">
      <alignment horizontal="center" vertical="center"/>
    </xf>
    <xf numFmtId="0" fontId="30" fillId="5" borderId="115" xfId="0" applyFont="1" applyFill="1" applyBorder="1" applyAlignment="1">
      <alignment horizontal="center" vertical="center"/>
    </xf>
    <xf numFmtId="0" fontId="30" fillId="5" borderId="51" xfId="0" applyFont="1" applyFill="1" applyBorder="1" applyAlignment="1">
      <alignment horizontal="center" vertical="center"/>
    </xf>
    <xf numFmtId="0" fontId="30" fillId="5" borderId="35" xfId="0" applyFont="1" applyFill="1" applyBorder="1" applyAlignment="1">
      <alignment horizontal="center" vertical="center"/>
    </xf>
    <xf numFmtId="0" fontId="30" fillId="5" borderId="3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5" borderId="116" xfId="0" applyFont="1" applyFill="1" applyBorder="1" applyAlignment="1">
      <alignment horizontal="center" vertical="center"/>
    </xf>
    <xf numFmtId="0" fontId="30" fillId="5" borderId="117" xfId="0" applyFont="1" applyFill="1" applyBorder="1" applyAlignment="1">
      <alignment horizontal="center" vertical="center"/>
    </xf>
    <xf numFmtId="0" fontId="30" fillId="5" borderId="36" xfId="0" applyFont="1" applyFill="1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30" fillId="5" borderId="113" xfId="34" applyFont="1" applyFill="1" applyBorder="1" applyAlignment="1">
      <alignment horizontal="center" vertical="center"/>
    </xf>
    <xf numFmtId="0" fontId="30" fillId="5" borderId="40" xfId="34" applyFont="1" applyFill="1" applyBorder="1" applyAlignment="1">
      <alignment horizontal="center" vertical="center"/>
    </xf>
    <xf numFmtId="0" fontId="30" fillId="5" borderId="115" xfId="34" applyFont="1" applyFill="1" applyBorder="1" applyAlignment="1">
      <alignment horizontal="center" vertical="center"/>
    </xf>
    <xf numFmtId="0" fontId="30" fillId="5" borderId="51" xfId="34" applyFont="1" applyFill="1" applyBorder="1" applyAlignment="1">
      <alignment horizontal="center" vertical="center"/>
    </xf>
    <xf numFmtId="0" fontId="30" fillId="5" borderId="116" xfId="34" applyFont="1" applyFill="1" applyBorder="1" applyAlignment="1">
      <alignment horizontal="center" vertical="center"/>
    </xf>
    <xf numFmtId="0" fontId="30" fillId="5" borderId="117" xfId="34" applyFont="1" applyFill="1" applyBorder="1" applyAlignment="1">
      <alignment horizontal="center" vertical="center"/>
    </xf>
    <xf numFmtId="0" fontId="30" fillId="5" borderId="108" xfId="34" applyFont="1" applyFill="1" applyBorder="1" applyAlignment="1">
      <alignment horizontal="center" vertical="center"/>
    </xf>
    <xf numFmtId="0" fontId="30" fillId="5" borderId="34" xfId="34" applyFont="1" applyFill="1" applyBorder="1" applyAlignment="1">
      <alignment horizontal="center" vertical="center"/>
    </xf>
    <xf numFmtId="0" fontId="30" fillId="5" borderId="30" xfId="34" applyFont="1" applyFill="1" applyBorder="1" applyAlignment="1">
      <alignment horizontal="center" vertical="center"/>
    </xf>
    <xf numFmtId="0" fontId="30" fillId="5" borderId="35" xfId="34" applyFont="1" applyFill="1" applyBorder="1" applyAlignment="1">
      <alignment horizontal="center" vertical="center"/>
    </xf>
    <xf numFmtId="0" fontId="30" fillId="5" borderId="31" xfId="34" applyFont="1" applyFill="1" applyBorder="1" applyAlignment="1">
      <alignment horizontal="center" vertical="center"/>
    </xf>
    <xf numFmtId="0" fontId="30" fillId="5" borderId="36" xfId="34" applyFont="1" applyFill="1" applyBorder="1" applyAlignment="1">
      <alignment horizontal="center" vertical="center"/>
    </xf>
    <xf numFmtId="0" fontId="30" fillId="5" borderId="34" xfId="0" applyFont="1" applyFill="1" applyBorder="1" applyAlignment="1">
      <alignment horizontal="center" vertical="center"/>
    </xf>
    <xf numFmtId="0" fontId="30" fillId="5" borderId="30" xfId="0" applyFont="1" applyFill="1" applyBorder="1" applyAlignment="1">
      <alignment horizontal="center" vertical="center"/>
    </xf>
    <xf numFmtId="41" fontId="54" fillId="0" borderId="35" xfId="37" applyNumberFormat="1" applyFont="1" applyFill="1" applyBorder="1" applyAlignment="1">
      <alignment horizontal="center" vertical="center"/>
    </xf>
    <xf numFmtId="178" fontId="54" fillId="0" borderId="35" xfId="15" applyFont="1" applyFill="1" applyBorder="1" applyAlignment="1">
      <alignment horizontal="center" vertical="center"/>
    </xf>
    <xf numFmtId="178" fontId="54" fillId="0" borderId="23" xfId="15" applyFont="1" applyFill="1" applyBorder="1" applyAlignment="1">
      <alignment horizontal="center" vertical="center"/>
    </xf>
    <xf numFmtId="0" fontId="54" fillId="0" borderId="35" xfId="37" applyFont="1" applyFill="1" applyBorder="1" applyAlignment="1">
      <alignment horizontal="center" vertical="center"/>
    </xf>
    <xf numFmtId="0" fontId="54" fillId="0" borderId="23" xfId="37" applyFont="1" applyFill="1" applyBorder="1" applyAlignment="1">
      <alignment horizontal="center" vertical="center"/>
    </xf>
    <xf numFmtId="0" fontId="54" fillId="0" borderId="34" xfId="37" applyFont="1" applyFill="1" applyBorder="1" applyAlignment="1">
      <alignment horizontal="center" vertical="center"/>
    </xf>
    <xf numFmtId="0" fontId="54" fillId="0" borderId="24" xfId="37" applyFont="1" applyFill="1" applyBorder="1" applyAlignment="1">
      <alignment horizontal="center" vertical="center"/>
    </xf>
    <xf numFmtId="0" fontId="55" fillId="0" borderId="34" xfId="37" applyFont="1" applyBorder="1" applyAlignment="1">
      <alignment horizontal="left" vertical="center"/>
    </xf>
    <xf numFmtId="0" fontId="55" fillId="0" borderId="35" xfId="37" applyFont="1" applyBorder="1" applyAlignment="1">
      <alignment horizontal="left" vertical="center"/>
    </xf>
    <xf numFmtId="41" fontId="54" fillId="0" borderId="113" xfId="37" applyNumberFormat="1" applyFont="1" applyFill="1" applyBorder="1" applyAlignment="1">
      <alignment horizontal="center" vertical="center"/>
    </xf>
    <xf numFmtId="41" fontId="54" fillId="0" borderId="108" xfId="37" applyNumberFormat="1" applyFont="1" applyFill="1" applyBorder="1" applyAlignment="1">
      <alignment horizontal="center" vertical="center"/>
    </xf>
    <xf numFmtId="0" fontId="55" fillId="0" borderId="24" xfId="37" applyFont="1" applyBorder="1" applyAlignment="1">
      <alignment horizontal="left" vertical="center"/>
    </xf>
    <xf numFmtId="0" fontId="55" fillId="0" borderId="23" xfId="37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196" fontId="0" fillId="0" borderId="23" xfId="0" applyNumberForma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/>
    </xf>
    <xf numFmtId="0" fontId="51" fillId="0" borderId="24" xfId="0" applyFont="1" applyBorder="1" applyAlignment="1">
      <alignment horizontal="left" vertical="center"/>
    </xf>
    <xf numFmtId="0" fontId="51" fillId="0" borderId="23" xfId="0" applyFont="1" applyBorder="1" applyAlignment="1">
      <alignment horizontal="left" vertical="center"/>
    </xf>
    <xf numFmtId="0" fontId="51" fillId="0" borderId="23" xfId="0" applyFont="1" applyBorder="1" applyAlignment="1">
      <alignment horizontal="center" vertical="center"/>
    </xf>
    <xf numFmtId="0" fontId="51" fillId="0" borderId="34" xfId="0" applyFont="1" applyBorder="1" applyAlignment="1">
      <alignment horizontal="left" vertical="center"/>
    </xf>
    <xf numFmtId="0" fontId="51" fillId="0" borderId="35" xfId="0" applyFont="1" applyBorder="1" applyAlignment="1">
      <alignment horizontal="left" vertical="center"/>
    </xf>
    <xf numFmtId="0" fontId="51" fillId="0" borderId="36" xfId="0" applyFont="1" applyBorder="1" applyAlignment="1">
      <alignment horizontal="left" vertical="center"/>
    </xf>
    <xf numFmtId="0" fontId="51" fillId="0" borderId="34" xfId="0" applyFont="1" applyBorder="1" applyAlignment="1">
      <alignment horizontal="center" vertical="center"/>
    </xf>
    <xf numFmtId="0" fontId="51" fillId="0" borderId="24" xfId="0" applyFont="1" applyBorder="1" applyAlignment="1">
      <alignment horizontal="center" vertical="center"/>
    </xf>
    <xf numFmtId="0" fontId="51" fillId="0" borderId="28" xfId="0" applyFont="1" applyBorder="1" applyAlignment="1">
      <alignment horizontal="left" vertical="center"/>
    </xf>
    <xf numFmtId="0" fontId="51" fillId="0" borderId="36" xfId="0" applyFont="1" applyBorder="1" applyAlignment="1">
      <alignment horizontal="center" vertical="center"/>
    </xf>
    <xf numFmtId="0" fontId="51" fillId="0" borderId="28" xfId="0" applyFont="1" applyBorder="1" applyAlignment="1">
      <alignment horizontal="center" vertical="center"/>
    </xf>
    <xf numFmtId="213" fontId="52" fillId="0" borderId="30" xfId="0" applyNumberFormat="1" applyFont="1" applyBorder="1" applyAlignment="1">
      <alignment horizontal="right" vertical="center"/>
    </xf>
    <xf numFmtId="213" fontId="52" fillId="0" borderId="31" xfId="0" applyNumberFormat="1" applyFont="1" applyBorder="1" applyAlignment="1">
      <alignment horizontal="right" vertical="center"/>
    </xf>
    <xf numFmtId="213" fontId="52" fillId="0" borderId="2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30" fillId="0" borderId="130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41" fontId="34" fillId="0" borderId="11" xfId="12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188" fontId="31" fillId="0" borderId="35" xfId="0" applyNumberFormat="1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188" fontId="31" fillId="0" borderId="23" xfId="0" applyNumberFormat="1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18" fillId="0" borderId="23" xfId="0" applyFont="1" applyFill="1" applyBorder="1" applyAlignment="1">
      <alignment horizontal="center" vertical="center"/>
    </xf>
    <xf numFmtId="0" fontId="21" fillId="0" borderId="23" xfId="0" applyFont="1" applyBorder="1" applyAlignment="1">
      <alignment vertical="center"/>
    </xf>
    <xf numFmtId="41" fontId="18" fillId="0" borderId="43" xfId="12" applyFont="1" applyBorder="1" applyAlignment="1">
      <alignment vertical="center"/>
    </xf>
    <xf numFmtId="41" fontId="18" fillId="0" borderId="23" xfId="12" applyFont="1" applyFill="1" applyBorder="1" applyAlignment="1">
      <alignment vertical="center"/>
    </xf>
    <xf numFmtId="41" fontId="18" fillId="0" borderId="28" xfId="12" applyFont="1" applyFill="1" applyBorder="1" applyAlignment="1">
      <alignment vertical="center"/>
    </xf>
    <xf numFmtId="0" fontId="66" fillId="0" borderId="24" xfId="0" applyFont="1" applyBorder="1" applyAlignment="1">
      <alignment horizontal="center" vertical="center"/>
    </xf>
    <xf numFmtId="0" fontId="18" fillId="0" borderId="42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41" fontId="18" fillId="0" borderId="23" xfId="12" applyFont="1" applyBorder="1" applyAlignment="1">
      <alignment vertical="center"/>
    </xf>
    <xf numFmtId="41" fontId="18" fillId="0" borderId="42" xfId="12" applyFont="1" applyBorder="1" applyAlignment="1">
      <alignment vertical="center"/>
    </xf>
    <xf numFmtId="41" fontId="18" fillId="0" borderId="22" xfId="12" applyFont="1" applyBorder="1" applyAlignment="1">
      <alignment vertical="center"/>
    </xf>
    <xf numFmtId="2" fontId="18" fillId="0" borderId="23" xfId="0" applyNumberFormat="1" applyFont="1" applyFill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21" fillId="0" borderId="35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41" fontId="18" fillId="0" borderId="31" xfId="12" applyFont="1" applyFill="1" applyBorder="1" applyAlignment="1">
      <alignment vertical="center"/>
    </xf>
    <xf numFmtId="41" fontId="18" fillId="0" borderId="20" xfId="12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8" fillId="0" borderId="31" xfId="0" applyFont="1" applyFill="1" applyBorder="1" applyAlignment="1">
      <alignment horizontal="center" vertical="center"/>
    </xf>
    <xf numFmtId="0" fontId="21" fillId="0" borderId="31" xfId="0" applyFont="1" applyBorder="1" applyAlignment="1">
      <alignment vertical="center"/>
    </xf>
    <xf numFmtId="41" fontId="18" fillId="0" borderId="31" xfId="12" applyFont="1" applyBorder="1" applyAlignment="1">
      <alignment vertical="center"/>
    </xf>
    <xf numFmtId="204" fontId="23" fillId="0" borderId="46" xfId="12" quotePrefix="1" applyNumberFormat="1" applyFont="1" applyBorder="1" applyAlignment="1">
      <alignment horizontal="left" vertical="center"/>
    </xf>
    <xf numFmtId="0" fontId="28" fillId="0" borderId="23" xfId="0" applyFont="1" applyFill="1" applyBorder="1" applyAlignment="1">
      <alignment horizontal="center" vertical="center"/>
    </xf>
    <xf numFmtId="197" fontId="28" fillId="0" borderId="23" xfId="0" applyNumberFormat="1" applyFont="1" applyBorder="1" applyAlignment="1">
      <alignment horizontal="center" vertical="center"/>
    </xf>
    <xf numFmtId="2" fontId="28" fillId="0" borderId="23" xfId="0" applyNumberFormat="1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left" vertical="center"/>
    </xf>
    <xf numFmtId="0" fontId="33" fillId="0" borderId="23" xfId="0" applyFont="1" applyFill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28" fillId="4" borderId="34" xfId="0" applyFont="1" applyFill="1" applyBorder="1" applyAlignment="1">
      <alignment horizontal="center" vertical="center"/>
    </xf>
    <xf numFmtId="0" fontId="28" fillId="4" borderId="108" xfId="0" applyFont="1" applyFill="1" applyBorder="1" applyAlignment="1">
      <alignment horizontal="center" vertical="center"/>
    </xf>
    <xf numFmtId="0" fontId="28" fillId="4" borderId="35" xfId="0" applyFont="1" applyFill="1" applyBorder="1" applyAlignment="1">
      <alignment horizontal="center" vertical="center"/>
    </xf>
    <xf numFmtId="0" fontId="28" fillId="4" borderId="113" xfId="0" applyFont="1" applyFill="1" applyBorder="1" applyAlignment="1">
      <alignment horizontal="center" vertical="center"/>
    </xf>
    <xf numFmtId="0" fontId="28" fillId="4" borderId="30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left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29" xfId="0" applyFont="1" applyFill="1" applyBorder="1" applyAlignment="1">
      <alignment horizontal="left" vertical="center"/>
    </xf>
    <xf numFmtId="0" fontId="33" fillId="0" borderId="38" xfId="0" applyFont="1" applyFill="1" applyBorder="1" applyAlignment="1">
      <alignment horizontal="left" vertical="center"/>
    </xf>
    <xf numFmtId="0" fontId="33" fillId="0" borderId="39" xfId="0" applyFont="1" applyFill="1" applyBorder="1" applyAlignment="1">
      <alignment horizontal="left" vertical="center"/>
    </xf>
    <xf numFmtId="0" fontId="33" fillId="0" borderId="40" xfId="0" applyFont="1" applyFill="1" applyBorder="1" applyAlignment="1">
      <alignment horizontal="left" vertical="center"/>
    </xf>
    <xf numFmtId="199" fontId="28" fillId="0" borderId="23" xfId="0" applyNumberFormat="1" applyFont="1" applyBorder="1" applyAlignment="1">
      <alignment horizontal="center" vertical="center"/>
    </xf>
    <xf numFmtId="0" fontId="28" fillId="0" borderId="26" xfId="0" applyFont="1" applyFill="1" applyBorder="1" applyAlignment="1">
      <alignment horizontal="left" vertical="center"/>
    </xf>
    <xf numFmtId="0" fontId="28" fillId="0" borderId="43" xfId="0" applyFont="1" applyFill="1" applyBorder="1" applyAlignment="1">
      <alignment horizontal="left" vertical="center"/>
    </xf>
    <xf numFmtId="0" fontId="33" fillId="0" borderId="43" xfId="0" applyFont="1" applyFill="1" applyBorder="1" applyAlignment="1">
      <alignment horizontal="left" vertical="center"/>
    </xf>
    <xf numFmtId="177" fontId="28" fillId="0" borderId="26" xfId="0" applyNumberFormat="1" applyFont="1" applyFill="1" applyBorder="1" applyAlignment="1">
      <alignment horizontal="center" vertical="center"/>
    </xf>
    <xf numFmtId="177" fontId="28" fillId="0" borderId="25" xfId="0" applyNumberFormat="1" applyFont="1" applyFill="1" applyBorder="1" applyAlignment="1">
      <alignment horizontal="center" vertical="center"/>
    </xf>
    <xf numFmtId="177" fontId="28" fillId="0" borderId="43" xfId="0" applyNumberFormat="1" applyFont="1" applyFill="1" applyBorder="1" applyAlignment="1">
      <alignment horizontal="center" vertical="center"/>
    </xf>
    <xf numFmtId="2" fontId="28" fillId="0" borderId="26" xfId="0" applyNumberFormat="1" applyFont="1" applyFill="1" applyBorder="1" applyAlignment="1">
      <alignment horizontal="center" vertical="center"/>
    </xf>
    <xf numFmtId="2" fontId="28" fillId="0" borderId="25" xfId="0" applyNumberFormat="1" applyFont="1" applyFill="1" applyBorder="1" applyAlignment="1">
      <alignment horizontal="center" vertical="center"/>
    </xf>
    <xf numFmtId="2" fontId="28" fillId="0" borderId="43" xfId="0" applyNumberFormat="1" applyFont="1" applyFill="1" applyBorder="1" applyAlignment="1">
      <alignment horizontal="center" vertical="center"/>
    </xf>
    <xf numFmtId="197" fontId="28" fillId="0" borderId="18" xfId="0" applyNumberFormat="1" applyFont="1" applyBorder="1" applyAlignment="1">
      <alignment horizontal="center" vertical="center"/>
    </xf>
    <xf numFmtId="197" fontId="28" fillId="0" borderId="37" xfId="0" applyNumberFormat="1" applyFont="1" applyBorder="1" applyAlignment="1">
      <alignment horizontal="center" vertical="center"/>
    </xf>
    <xf numFmtId="177" fontId="28" fillId="0" borderId="23" xfId="0" applyNumberFormat="1" applyFont="1" applyFill="1" applyBorder="1" applyAlignment="1">
      <alignment horizontal="center" vertical="center"/>
    </xf>
    <xf numFmtId="0" fontId="48" fillId="6" borderId="26" xfId="0" applyFont="1" applyFill="1" applyBorder="1" applyAlignment="1">
      <alignment horizontal="left" vertical="center" wrapText="1"/>
    </xf>
    <xf numFmtId="0" fontId="48" fillId="6" borderId="25" xfId="0" applyFont="1" applyFill="1" applyBorder="1" applyAlignment="1">
      <alignment horizontal="left" vertical="center" wrapText="1"/>
    </xf>
    <xf numFmtId="0" fontId="48" fillId="6" borderId="29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59" fillId="0" borderId="35" xfId="0" applyFont="1" applyBorder="1" applyAlignment="1">
      <alignment horizontal="center" vertical="center"/>
    </xf>
    <xf numFmtId="0" fontId="48" fillId="6" borderId="24" xfId="0" applyFont="1" applyFill="1" applyBorder="1" applyAlignment="1">
      <alignment horizontal="left" vertical="center" wrapText="1"/>
    </xf>
    <xf numFmtId="0" fontId="48" fillId="6" borderId="23" xfId="0" applyFont="1" applyFill="1" applyBorder="1" applyAlignment="1">
      <alignment horizontal="left" vertical="center" wrapText="1"/>
    </xf>
    <xf numFmtId="0" fontId="48" fillId="6" borderId="28" xfId="0" applyFont="1" applyFill="1" applyBorder="1" applyAlignment="1">
      <alignment horizontal="left" vertical="center" wrapText="1"/>
    </xf>
    <xf numFmtId="0" fontId="55" fillId="0" borderId="26" xfId="37" applyFont="1" applyBorder="1" applyAlignment="1">
      <alignment horizontal="left" vertical="center"/>
    </xf>
    <xf numFmtId="0" fontId="55" fillId="0" borderId="25" xfId="37" applyFont="1" applyBorder="1" applyAlignment="1">
      <alignment horizontal="left" vertical="center"/>
    </xf>
    <xf numFmtId="0" fontId="55" fillId="0" borderId="43" xfId="37" applyFont="1" applyBorder="1" applyAlignment="1">
      <alignment horizontal="left" vertical="center"/>
    </xf>
  </cellXfs>
  <cellStyles count="61">
    <cellStyle name="고정소숫점" xfId="1"/>
    <cellStyle name="고정출력1" xfId="2"/>
    <cellStyle name="고정출력2" xfId="3"/>
    <cellStyle name="날짜" xfId="4"/>
    <cellStyle name="달러" xfId="5"/>
    <cellStyle name="똿뗦먛귟 [0.00]_PRODUCT DETAIL Q1" xfId="6"/>
    <cellStyle name="똿뗦먛귟_PRODUCT DETAIL Q1" xfId="7"/>
    <cellStyle name="믅됞 [0.00]_PRODUCT DETAIL Q1" xfId="8"/>
    <cellStyle name="믅됞_PRODUCT DETAIL Q1" xfId="9"/>
    <cellStyle name="백분율" xfId="10" builtinId="5"/>
    <cellStyle name="뷭?_BOOKSHIP" xfId="11"/>
    <cellStyle name="쉼표 [0]" xfId="12" builtinId="6"/>
    <cellStyle name="쉼표 [0]_난간" xfId="13"/>
    <cellStyle name="쉼표 [0]_수자원공사내역-완" xfId="14"/>
    <cellStyle name="쉼표 [0]_SF04대가" xfId="15"/>
    <cellStyle name="스타일 1" xfId="16"/>
    <cellStyle name="자리수" xfId="17"/>
    <cellStyle name="자리수0" xfId="18"/>
    <cellStyle name="콤마 [0]_ 견적기준 FLOW " xfId="19"/>
    <cellStyle name="콤마_ 견적기준 FLOW " xfId="20"/>
    <cellStyle name="퍼센트" xfId="21"/>
    <cellStyle name="표준" xfId="0" builtinId="0"/>
    <cellStyle name="표준_02(1).이지그린매트일위대가" xfId="22"/>
    <cellStyle name="표준_10년일위(테라토t=10)" xfId="23"/>
    <cellStyle name="표준_10년일위(테라토t=5)" xfId="24"/>
    <cellStyle name="표준_10년일위(테라토t=7)" xfId="25"/>
    <cellStyle name="표준_견1-1" xfId="26"/>
    <cellStyle name="표준_견1-3" xfId="27"/>
    <cellStyle name="표준_공법별단가일위대가" xfId="28"/>
    <cellStyle name="표준_낙석방지책25" xfId="29"/>
    <cellStyle name="표준_난간" xfId="30"/>
    <cellStyle name="표준_설계서-2" xfId="31"/>
    <cellStyle name="표준_수자원공사내역-완" xfId="32"/>
    <cellStyle name="표준_일반가~1" xfId="33"/>
    <cellStyle name="표준_일위대가2003하반기" xfId="34"/>
    <cellStyle name="표준_일위대가2003하반기_공법별단가일위대가" xfId="35"/>
    <cellStyle name="표준_a" xfId="36"/>
    <cellStyle name="표준_SF04대가" xfId="37"/>
    <cellStyle name="합산" xfId="38"/>
    <cellStyle name="화폐기호" xfId="39"/>
    <cellStyle name="화폐기호0" xfId="40"/>
    <cellStyle name="AeE­ [0]_AMT " xfId="41"/>
    <cellStyle name="AeE­_AMT " xfId="42"/>
    <cellStyle name="AÞ¸¶ [0]_AN°y(1.25) " xfId="43"/>
    <cellStyle name="AÞ¸¶_AN°y(1.25) " xfId="44"/>
    <cellStyle name="C￥AØ_≫c¾÷ºIº° AN°e " xfId="45"/>
    <cellStyle name="CIAIÆU¸μAⓒ" xfId="46"/>
    <cellStyle name="Comma [0]_ SG&amp;A Bridge " xfId="47"/>
    <cellStyle name="Comma_ SG&amp;A Bridge " xfId="48"/>
    <cellStyle name="Curren?_x0012_퐀_x0017_?" xfId="49"/>
    <cellStyle name="Currency [0]_ SG&amp;A Bridge " xfId="50"/>
    <cellStyle name="Currency_ SG&amp;A Bridge " xfId="51"/>
    <cellStyle name="Euro" xfId="52"/>
    <cellStyle name="Grey" xfId="53"/>
    <cellStyle name="Header1" xfId="54"/>
    <cellStyle name="Header2" xfId="55"/>
    <cellStyle name="Input [yellow]" xfId="56"/>
    <cellStyle name="Normal - Style1" xfId="57"/>
    <cellStyle name="Normal_ SG&amp;A Bridge " xfId="58"/>
    <cellStyle name="Percent [2]" xfId="59"/>
    <cellStyle name="μU¿¡ ¿A´A CIAIÆU¸μAⓒ" xfId="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11</xdr:row>
      <xdr:rowOff>0</xdr:rowOff>
    </xdr:from>
    <xdr:to>
      <xdr:col>18</xdr:col>
      <xdr:colOff>133350</xdr:colOff>
      <xdr:row>13</xdr:row>
      <xdr:rowOff>142875</xdr:rowOff>
    </xdr:to>
    <xdr:sp macro="" textlink="">
      <xdr:nvSpPr>
        <xdr:cNvPr id="23555" name="AutoShape 3"/>
        <xdr:cNvSpPr>
          <a:spLocks noChangeArrowheads="1"/>
        </xdr:cNvSpPr>
      </xdr:nvSpPr>
      <xdr:spPr bwMode="auto">
        <a:xfrm>
          <a:off x="1809750" y="1885950"/>
          <a:ext cx="269557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잔 디 식 재   생   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9</xdr:row>
      <xdr:rowOff>9525</xdr:rowOff>
    </xdr:from>
    <xdr:to>
      <xdr:col>9</xdr:col>
      <xdr:colOff>0</xdr:colOff>
      <xdr:row>9</xdr:row>
      <xdr:rowOff>9525</xdr:rowOff>
    </xdr:to>
    <xdr:sp macro="" textlink="">
      <xdr:nvSpPr>
        <xdr:cNvPr id="130049" name="Line 1"/>
        <xdr:cNvSpPr>
          <a:spLocks noChangeShapeType="1"/>
        </xdr:cNvSpPr>
      </xdr:nvSpPr>
      <xdr:spPr bwMode="auto">
        <a:xfrm>
          <a:off x="6048375" y="20859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0" name="Line 2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1" name="Line 3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2" name="Line 4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9525</xdr:rowOff>
    </xdr:from>
    <xdr:to>
      <xdr:col>9</xdr:col>
      <xdr:colOff>0</xdr:colOff>
      <xdr:row>9</xdr:row>
      <xdr:rowOff>9525</xdr:rowOff>
    </xdr:to>
    <xdr:sp macro="" textlink="">
      <xdr:nvSpPr>
        <xdr:cNvPr id="130053" name="Line 5"/>
        <xdr:cNvSpPr>
          <a:spLocks noChangeShapeType="1"/>
        </xdr:cNvSpPr>
      </xdr:nvSpPr>
      <xdr:spPr bwMode="auto">
        <a:xfrm>
          <a:off x="6048375" y="20859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4" name="Line 6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5" name="Line 7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6" name="Line 8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9525</xdr:rowOff>
    </xdr:from>
    <xdr:to>
      <xdr:col>9</xdr:col>
      <xdr:colOff>0</xdr:colOff>
      <xdr:row>9</xdr:row>
      <xdr:rowOff>9525</xdr:rowOff>
    </xdr:to>
    <xdr:sp macro="" textlink="">
      <xdr:nvSpPr>
        <xdr:cNvPr id="130057" name="Line 9"/>
        <xdr:cNvSpPr>
          <a:spLocks noChangeShapeType="1"/>
        </xdr:cNvSpPr>
      </xdr:nvSpPr>
      <xdr:spPr bwMode="auto">
        <a:xfrm>
          <a:off x="6048375" y="20859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8" name="Line 10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59" name="Line 11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60" name="Line 12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9525</xdr:rowOff>
    </xdr:from>
    <xdr:to>
      <xdr:col>9</xdr:col>
      <xdr:colOff>0</xdr:colOff>
      <xdr:row>9</xdr:row>
      <xdr:rowOff>9525</xdr:rowOff>
    </xdr:to>
    <xdr:sp macro="" textlink="">
      <xdr:nvSpPr>
        <xdr:cNvPr id="130061" name="Line 13"/>
        <xdr:cNvSpPr>
          <a:spLocks noChangeShapeType="1"/>
        </xdr:cNvSpPr>
      </xdr:nvSpPr>
      <xdr:spPr bwMode="auto">
        <a:xfrm>
          <a:off x="6048375" y="20859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62" name="Line 14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63" name="Line 15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130064" name="Line 16"/>
        <xdr:cNvSpPr>
          <a:spLocks noChangeShapeType="1"/>
        </xdr:cNvSpPr>
      </xdr:nvSpPr>
      <xdr:spPr bwMode="auto">
        <a:xfrm>
          <a:off x="6048375" y="2076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333375</xdr:colOff>
      <xdr:row>0</xdr:row>
      <xdr:rowOff>304800</xdr:rowOff>
    </xdr:from>
    <xdr:to>
      <xdr:col>13</xdr:col>
      <xdr:colOff>276225</xdr:colOff>
      <xdr:row>2</xdr:row>
      <xdr:rowOff>95250</xdr:rowOff>
    </xdr:to>
    <xdr:pic>
      <xdr:nvPicPr>
        <xdr:cNvPr id="13006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80112" b="50000"/>
        <a:stretch>
          <a:fillRect/>
        </a:stretch>
      </xdr:blipFill>
      <xdr:spPr bwMode="auto">
        <a:xfrm>
          <a:off x="8162925" y="304800"/>
          <a:ext cx="5715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352425</xdr:colOff>
      <xdr:row>39</xdr:row>
      <xdr:rowOff>142875</xdr:rowOff>
    </xdr:from>
    <xdr:ext cx="76200" cy="209550"/>
    <xdr:sp macro="" textlink="">
      <xdr:nvSpPr>
        <xdr:cNvPr id="143361" name="Text Box 1"/>
        <xdr:cNvSpPr txBox="1">
          <a:spLocks noChangeArrowheads="1"/>
        </xdr:cNvSpPr>
      </xdr:nvSpPr>
      <xdr:spPr bwMode="auto">
        <a:xfrm>
          <a:off x="7115175" y="98012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352425</xdr:colOff>
      <xdr:row>43</xdr:row>
      <xdr:rowOff>0</xdr:rowOff>
    </xdr:from>
    <xdr:ext cx="76200" cy="209550"/>
    <xdr:sp macro="" textlink="">
      <xdr:nvSpPr>
        <xdr:cNvPr id="144385" name="Text Box 1"/>
        <xdr:cNvSpPr txBox="1">
          <a:spLocks noChangeArrowheads="1"/>
        </xdr:cNvSpPr>
      </xdr:nvSpPr>
      <xdr:spPr bwMode="auto">
        <a:xfrm>
          <a:off x="7115175" y="10648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352425</xdr:colOff>
      <xdr:row>43</xdr:row>
      <xdr:rowOff>0</xdr:rowOff>
    </xdr:from>
    <xdr:ext cx="76200" cy="209550"/>
    <xdr:sp macro="" textlink="">
      <xdr:nvSpPr>
        <xdr:cNvPr id="145409" name="Text Box 1"/>
        <xdr:cNvSpPr txBox="1">
          <a:spLocks noChangeArrowheads="1"/>
        </xdr:cNvSpPr>
      </xdr:nvSpPr>
      <xdr:spPr bwMode="auto">
        <a:xfrm>
          <a:off x="7115175" y="10648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11</xdr:row>
      <xdr:rowOff>0</xdr:rowOff>
    </xdr:from>
    <xdr:to>
      <xdr:col>18</xdr:col>
      <xdr:colOff>133350</xdr:colOff>
      <xdr:row>13</xdr:row>
      <xdr:rowOff>142875</xdr:rowOff>
    </xdr:to>
    <xdr:sp macro="" textlink="">
      <xdr:nvSpPr>
        <xdr:cNvPr id="23555" name="AutoShape 3"/>
        <xdr:cNvSpPr>
          <a:spLocks noChangeArrowheads="1"/>
        </xdr:cNvSpPr>
      </xdr:nvSpPr>
      <xdr:spPr bwMode="auto">
        <a:xfrm>
          <a:off x="1809750" y="1885950"/>
          <a:ext cx="269557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잔 디 식 재   생   토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</xdr:row>
      <xdr:rowOff>9525</xdr:rowOff>
    </xdr:from>
    <xdr:ext cx="2585220" cy="559541"/>
    <xdr:sp macro="" textlink="">
      <xdr:nvSpPr>
        <xdr:cNvPr id="27649" name="AutoShape 1"/>
        <xdr:cNvSpPr>
          <a:spLocks noChangeArrowheads="1"/>
        </xdr:cNvSpPr>
      </xdr:nvSpPr>
      <xdr:spPr bwMode="auto">
        <a:xfrm>
          <a:off x="1820333" y="1702858"/>
          <a:ext cx="2490175" cy="549894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wrap="none" lIns="54864" tIns="41148" rIns="54864" bIns="41148" anchor="ctr" upright="1">
          <a:spAutoFit/>
        </a:bodyPr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거 적 덮 기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12</xdr:row>
      <xdr:rowOff>57150</xdr:rowOff>
    </xdr:from>
    <xdr:to>
      <xdr:col>7</xdr:col>
      <xdr:colOff>95250</xdr:colOff>
      <xdr:row>15</xdr:row>
      <xdr:rowOff>28575</xdr:rowOff>
    </xdr:to>
    <xdr:sp macro="" textlink="">
      <xdr:nvSpPr>
        <xdr:cNvPr id="39938" name="AutoShape 2"/>
        <xdr:cNvSpPr>
          <a:spLocks noChangeArrowheads="1"/>
        </xdr:cNvSpPr>
      </xdr:nvSpPr>
      <xdr:spPr bwMode="auto">
        <a:xfrm>
          <a:off x="1724025" y="2114550"/>
          <a:ext cx="250507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코아네트</a:t>
          </a:r>
        </a:p>
        <a:p>
          <a:pPr algn="ctr" rtl="0">
            <a:defRPr sz="1000"/>
          </a:pPr>
          <a:endParaRPr lang="ko-KR" altLang="en-US" sz="28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7</xdr:row>
      <xdr:rowOff>19050</xdr:rowOff>
    </xdr:from>
    <xdr:to>
      <xdr:col>7</xdr:col>
      <xdr:colOff>466725</xdr:colOff>
      <xdr:row>9</xdr:row>
      <xdr:rowOff>152400</xdr:rowOff>
    </xdr:to>
    <xdr:sp macro="" textlink="">
      <xdr:nvSpPr>
        <xdr:cNvPr id="16392" name="AutoShape 8"/>
        <xdr:cNvSpPr>
          <a:spLocks noChangeArrowheads="1"/>
        </xdr:cNvSpPr>
      </xdr:nvSpPr>
      <xdr:spPr bwMode="auto">
        <a:xfrm>
          <a:off x="2247900" y="1219200"/>
          <a:ext cx="2533650" cy="476250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en-US" altLang="ko-KR" sz="2800" b="1" i="0" strike="noStrike">
              <a:solidFill>
                <a:srgbClr val="000000"/>
              </a:solidFill>
              <a:latin typeface="바탕체"/>
              <a:ea typeface="바탕체"/>
            </a:rPr>
            <a:t>J </a:t>
          </a: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 S  B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12</xdr:row>
      <xdr:rowOff>9525</xdr:rowOff>
    </xdr:from>
    <xdr:to>
      <xdr:col>6</xdr:col>
      <xdr:colOff>561975</xdr:colOff>
      <xdr:row>14</xdr:row>
      <xdr:rowOff>142875</xdr:rowOff>
    </xdr:to>
    <xdr:sp macro="" textlink="">
      <xdr:nvSpPr>
        <xdr:cNvPr id="30721" name="AutoShape 1"/>
        <xdr:cNvSpPr>
          <a:spLocks noChangeArrowheads="1"/>
        </xdr:cNvSpPr>
      </xdr:nvSpPr>
      <xdr:spPr bwMode="auto">
        <a:xfrm>
          <a:off x="2162175" y="2066925"/>
          <a:ext cx="3267075" cy="476250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S / F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10</xdr:row>
      <xdr:rowOff>47625</xdr:rowOff>
    </xdr:from>
    <xdr:to>
      <xdr:col>7</xdr:col>
      <xdr:colOff>533400</xdr:colOff>
      <xdr:row>13</xdr:row>
      <xdr:rowOff>19050</xdr:rowOff>
    </xdr:to>
    <xdr:sp macro="" textlink="">
      <xdr:nvSpPr>
        <xdr:cNvPr id="28674" name="AutoShape 2"/>
        <xdr:cNvSpPr>
          <a:spLocks noChangeArrowheads="1"/>
        </xdr:cNvSpPr>
      </xdr:nvSpPr>
      <xdr:spPr bwMode="auto">
        <a:xfrm>
          <a:off x="1685925" y="1762125"/>
          <a:ext cx="301942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녹   생   토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12</xdr:row>
      <xdr:rowOff>9525</xdr:rowOff>
    </xdr:from>
    <xdr:to>
      <xdr:col>6</xdr:col>
      <xdr:colOff>609600</xdr:colOff>
      <xdr:row>14</xdr:row>
      <xdr:rowOff>152400</xdr:rowOff>
    </xdr:to>
    <xdr:sp macro="" textlink="">
      <xdr:nvSpPr>
        <xdr:cNvPr id="29697" name="AutoShape 1"/>
        <xdr:cNvSpPr>
          <a:spLocks noChangeArrowheads="1"/>
        </xdr:cNvSpPr>
      </xdr:nvSpPr>
      <xdr:spPr bwMode="auto">
        <a:xfrm>
          <a:off x="2933700" y="2066925"/>
          <a:ext cx="3257550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A  S  N  A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9525</xdr:rowOff>
    </xdr:from>
    <xdr:to>
      <xdr:col>7</xdr:col>
      <xdr:colOff>57150</xdr:colOff>
      <xdr:row>9</xdr:row>
      <xdr:rowOff>152400</xdr:rowOff>
    </xdr:to>
    <xdr:sp macro="" textlink="">
      <xdr:nvSpPr>
        <xdr:cNvPr id="38915" name="AutoShape 3"/>
        <xdr:cNvSpPr>
          <a:spLocks noChangeArrowheads="1"/>
        </xdr:cNvSpPr>
      </xdr:nvSpPr>
      <xdr:spPr bwMode="auto">
        <a:xfrm>
          <a:off x="1771650" y="1209675"/>
          <a:ext cx="254317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N</a:t>
          </a:r>
          <a:r>
            <a:rPr lang="en-US" altLang="ko-KR" sz="2800" b="1" i="0" strike="noStrike">
              <a:solidFill>
                <a:srgbClr val="000000"/>
              </a:solidFill>
              <a:latin typeface="바탕체"/>
              <a:ea typeface="바탕체"/>
            </a:rPr>
            <a:t> </a:t>
          </a: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 G   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10</xdr:row>
      <xdr:rowOff>28575</xdr:rowOff>
    </xdr:from>
    <xdr:to>
      <xdr:col>7</xdr:col>
      <xdr:colOff>533400</xdr:colOff>
      <xdr:row>13</xdr:row>
      <xdr:rowOff>0</xdr:rowOff>
    </xdr:to>
    <xdr:sp macro="" textlink="">
      <xdr:nvSpPr>
        <xdr:cNvPr id="26631" name="AutoShape 7"/>
        <xdr:cNvSpPr>
          <a:spLocks noChangeArrowheads="1"/>
        </xdr:cNvSpPr>
      </xdr:nvSpPr>
      <xdr:spPr bwMode="auto">
        <a:xfrm>
          <a:off x="1695450" y="1743075"/>
          <a:ext cx="3009900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텍        솔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1" name="Line 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2" name="Line 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3" name="Line 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4" name="Line 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5" name="Line 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6" name="Line 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7" name="Line 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8" name="Line 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39" name="Line 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0" name="Line 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1" name="Line 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2" name="Line 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3" name="Line 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4" name="Line 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5" name="Line 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6" name="Line 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7" name="Line 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8" name="Line 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49" name="Line 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0" name="Line 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1" name="Line 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2" name="Line 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3" name="Line 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4" name="Line 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5" name="Line 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6" name="Line 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7" name="Line 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8" name="Line 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59" name="Line 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0" name="Line 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1" name="Line 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2" name="Line 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3" name="Line 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4" name="Line 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5" name="Line 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6" name="Line 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7" name="Line 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8" name="Line 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69" name="Line 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0" name="Line 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1" name="Line 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2" name="Line 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3" name="Line 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4" name="Line 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5" name="Line 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6" name="Line 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7" name="Line 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8" name="Line 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79" name="Line 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0" name="Line 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1" name="Line 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2" name="Line 5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3" name="Line 6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4" name="Line 61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5" name="Line 62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6" name="Line 63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7" name="Line 6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8" name="Line 6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89" name="Line 6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0" name="Line 6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1" name="Line 6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2" name="Line 6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3" name="Line 7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4" name="Line 71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5" name="Line 72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6" name="Line 73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7" name="Line 7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8" name="Line 7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799" name="Line 7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0" name="Line 7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1" name="Line 7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2" name="Line 7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3" name="Line 8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4" name="Line 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5" name="Line 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6" name="Line 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7" name="Line 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8" name="Line 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09" name="Line 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0" name="Line 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1" name="Line 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2" name="Line 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3" name="Line 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4" name="Line 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5" name="Line 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6" name="Line 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7" name="Line 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8" name="Line 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19" name="Line 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0" name="Line 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1" name="Line 1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2" name="Line 1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3" name="Line 1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4" name="Line 1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5" name="Line 1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6" name="Line 1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7" name="Line 1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8" name="Line 1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29" name="Line 1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0" name="Line 1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1" name="Line 1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2" name="Line 1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3" name="Line 1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4" name="Line 1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5" name="Line 1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6" name="Line 1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7" name="Line 1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8" name="Line 1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39" name="Line 1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0" name="Line 1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1" name="Line 1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2" name="Line 1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3" name="Line 1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4" name="Line 1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5" name="Line 1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6" name="Line 1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7" name="Line 1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8" name="Line 1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49" name="Line 1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0" name="Line 1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1" name="Line 1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2" name="Line 1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3" name="Line 1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4" name="Line 1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5" name="Line 1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6" name="Line 1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7" name="Line 1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8" name="Line 1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59" name="Line 1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0" name="Line 1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1" name="Line 1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2" name="Line 1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3" name="Line 1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4" name="Line 1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5" name="Line 1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6" name="Line 1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7" name="Line 1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8" name="Line 1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69" name="Line 1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0" name="Line 1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1" name="Line 1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2" name="Line 1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3" name="Line 1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4" name="Line 1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5" name="Line 1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6" name="Line 1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7" name="Line 1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8" name="Line 1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79" name="Line 1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0" name="Line 1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1" name="Line 1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2" name="Line 1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3" name="Line 1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4" name="Line 1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5" name="Line 16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6" name="Line 16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7" name="Line 16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8" name="Line 16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89" name="Line 16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0" name="Line 16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1" name="Line 17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2" name="Line 171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3" name="Line 17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4" name="Line 173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5" name="Line 17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6" name="Line 17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7" name="Line 17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8" name="Line 17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899" name="Line 17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0" name="Line 17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1" name="Line 18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2" name="Line 1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3" name="Line 1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4" name="Line 1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5" name="Line 18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6" name="Line 18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7" name="Line 1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8" name="Line 1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09" name="Line 1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0" name="Line 1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1" name="Line 1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2" name="Line 1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3" name="Line 1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4" name="Line 1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5" name="Line 1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6" name="Line 1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7" name="Line 1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8" name="Line 1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19" name="Line 1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0" name="Line 1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1" name="Line 2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2" name="Line 2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3" name="Line 2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4" name="Line 2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5" name="Line 2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6" name="Line 2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7" name="Line 2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8" name="Line 2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29" name="Line 2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0" name="Line 2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1" name="Line 2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2" name="Line 2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3" name="Line 2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4" name="Line 2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5" name="Line 2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6" name="Line 2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7" name="Line 2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8" name="Line 2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39" name="Line 2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0" name="Line 2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1" name="Line 2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2" name="Line 2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3" name="Line 2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4" name="Line 2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5" name="Line 2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6" name="Line 2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7" name="Line 2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8" name="Line 2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49" name="Line 2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0" name="Line 2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1" name="Line 2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2" name="Line 2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3" name="Line 2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4" name="Line 2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5" name="Line 2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6" name="Line 2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7" name="Line 2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8" name="Line 2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59" name="Line 2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0" name="Line 2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1" name="Line 2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2" name="Line 2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3" name="Line 2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4" name="Line 2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5" name="Line 2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6" name="Line 2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7" name="Line 2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8" name="Line 2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69" name="Line 2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0" name="Line 2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1" name="Line 2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2" name="Line 2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3" name="Line 2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4" name="Line 2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5" name="Line 2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6" name="Line 2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7" name="Line 2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8" name="Line 2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79" name="Line 2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0" name="Line 2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1" name="Line 2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2" name="Line 2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3" name="Line 2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4" name="Line 2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5" name="Line 26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6" name="Line 26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7" name="Line 26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8" name="Line 26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89" name="Line 26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0" name="Line 26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1" name="Line 27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2" name="Line 27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3" name="Line 272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4" name="Line 273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5" name="Line 27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6" name="Line 27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7" name="Line 27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8" name="Line 27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999" name="Line 27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0" name="Line 27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1" name="Line 28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2" name="Line 2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3" name="Line 2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4" name="Line 2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5" name="Line 28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6" name="Line 28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7" name="Line 2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8" name="Line 2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09" name="Line 2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0" name="Line 2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1" name="Line 2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2" name="Line 2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3" name="Line 2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4" name="Line 2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5" name="Line 2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6" name="Line 2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7" name="Line 2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8" name="Line 2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19" name="Line 2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0" name="Line 2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1" name="Line 3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2" name="Line 3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3" name="Line 3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4" name="Line 3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5" name="Line 3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6" name="Line 3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7" name="Line 3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8" name="Line 3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29" name="Line 3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0" name="Line 3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1" name="Line 3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2" name="Line 3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3" name="Line 3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4" name="Line 3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5" name="Line 3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6" name="Line 3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7" name="Line 3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8" name="Line 3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39" name="Line 3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0" name="Line 3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1" name="Line 3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2" name="Line 3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3" name="Line 3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4" name="Line 3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5" name="Line 3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6" name="Line 3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2047" name="Line 3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4" name="Line 3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5" name="Line 3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6" name="Line 3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7" name="Line 3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8" name="Line 3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69" name="Line 3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0" name="Line 3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1" name="Line 3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2" name="Line 3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3" name="Line 3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4" name="Line 3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5" name="Line 3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6" name="Line 3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7" name="Line 3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8" name="Line 3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79" name="Line 3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0" name="Line 3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1" name="Line 3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2" name="Line 3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3" name="Line 3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4" name="Line 3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5" name="Line 3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6" name="Line 3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7" name="Line 3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8" name="Line 3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89" name="Line 3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0" name="Line 3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1" name="Line 3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2" name="Line 3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3" name="Line 3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4" name="Line 3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5" name="Line 3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6" name="Line 3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7" name="Line 3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8" name="Line 3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299" name="Line 3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0" name="Line 3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1" name="Line 36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2" name="Line 36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3" name="Line 36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4" name="Line 36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5" name="Line 36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6" name="Line 36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7" name="Line 37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8" name="Line 371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09" name="Line 37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0" name="Line 373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1" name="Line 37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2" name="Line 37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3" name="Line 37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4" name="Line 37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5" name="Line 37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6" name="Line 37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7" name="Line 38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8" name="Line 3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19" name="Line 3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0" name="Line 3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1" name="Line 38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2" name="Line 38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3" name="Line 3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4" name="Line 3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5" name="Line 3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6" name="Line 3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7" name="Line 3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8" name="Line 3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29" name="Line 3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0" name="Line 3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1" name="Line 3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2" name="Line 3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3" name="Line 3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4" name="Line 3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5" name="Line 3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6" name="Line 3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7" name="Line 4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8" name="Line 4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39" name="Line 4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0" name="Line 4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1" name="Line 4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2" name="Line 4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3" name="Line 4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4" name="Line 4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5" name="Line 4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6" name="Line 4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7" name="Line 4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8" name="Line 4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49" name="Line 4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0" name="Line 4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1" name="Line 4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2" name="Line 4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3" name="Line 4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4" name="Line 4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5" name="Line 4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6" name="Line 4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7" name="Line 4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8" name="Line 4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59" name="Line 4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0" name="Line 4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1" name="Line 4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2" name="Line 4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3" name="Line 4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4" name="Line 4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5" name="Line 4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6" name="Line 4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7" name="Line 4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8" name="Line 4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69" name="Line 4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0" name="Line 4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1" name="Line 4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2" name="Line 4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3" name="Line 4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4" name="Line 4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5" name="Line 4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6" name="Line 4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7" name="Line 4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8" name="Line 4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79" name="Line 4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0" name="Line 4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1" name="Line 4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2" name="Line 4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3" name="Line 4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4" name="Line 4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5" name="Line 4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6" name="Line 4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7" name="Line 4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8" name="Line 4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89" name="Line 4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0" name="Line 4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1" name="Line 4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2" name="Line 4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3" name="Line 4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4" name="Line 4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5" name="Line 4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6" name="Line 4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7" name="Line 4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8" name="Line 4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399" name="Line 4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0" name="Line 4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1" name="Line 46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2" name="Line 46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3" name="Line 46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4" name="Line 46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5" name="Line 46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6" name="Line 46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7" name="Line 47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8" name="Line 471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09" name="Line 472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0" name="Line 47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1" name="Line 474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2" name="Line 475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3" name="Line 476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4" name="Line 477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5" name="Line 478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6" name="Line 479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7" name="Line 480"/>
        <xdr:cNvSpPr>
          <a:spLocks noChangeShapeType="1"/>
        </xdr:cNvSpPr>
      </xdr:nvSpPr>
      <xdr:spPr bwMode="auto">
        <a:xfrm flipH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8" name="Line 4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19" name="Line 4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0" name="Line 4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1" name="Line 48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2" name="Line 48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3" name="Line 4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4" name="Line 4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5" name="Line 4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6" name="Line 4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7" name="Line 4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8" name="Line 4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29" name="Line 4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0" name="Line 4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1" name="Line 4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2" name="Line 4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3" name="Line 4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4" name="Line 4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5" name="Line 4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6" name="Line 4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7" name="Line 5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8" name="Line 5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39" name="Line 5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0" name="Line 5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1" name="Line 5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2" name="Line 5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3" name="Line 5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4" name="Line 5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5" name="Line 5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6" name="Line 5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7" name="Line 5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8" name="Line 5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49" name="Line 5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0" name="Line 5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1" name="Line 5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2" name="Line 5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3" name="Line 5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4" name="Line 5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5" name="Line 5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6" name="Line 5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7" name="Line 5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8" name="Line 5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59" name="Line 5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0" name="Line 5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1" name="Line 5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2" name="Line 5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3" name="Line 5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4" name="Line 5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5" name="Line 5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6" name="Line 5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7" name="Line 5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8" name="Line 5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69" name="Line 5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0" name="Line 5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1" name="Line 5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2" name="Line 5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3" name="Line 5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4" name="Line 5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5" name="Line 5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6" name="Line 5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7" name="Line 5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8" name="Line 5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79" name="Line 5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0" name="Line 5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1" name="Line 5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2" name="Line 5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3" name="Line 5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4" name="Line 5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5" name="Line 5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6" name="Line 5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7" name="Line 5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8" name="Line 5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89" name="Line 5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0" name="Line 5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1" name="Line 5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2" name="Line 5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3" name="Line 5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4" name="Line 5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5" name="Line 5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6" name="Line 5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7" name="Line 5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8" name="Line 5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499" name="Line 5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0" name="Line 56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1" name="Line 56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2" name="Line 56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3" name="Line 56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4" name="Line 56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5" name="Line 56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6" name="Line 57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7" name="Line 57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8" name="Line 57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09" name="Line 57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0" name="Line 57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1" name="Line 57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2" name="Line 57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3" name="Line 57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4" name="Line 57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5" name="Line 57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6" name="Line 58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7" name="Line 58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8" name="Line 58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19" name="Line 58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0" name="Line 58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1" name="Line 58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2" name="Line 58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3" name="Line 58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4" name="Line 58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5" name="Line 58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6" name="Line 59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7" name="Line 59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8" name="Line 59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29" name="Line 59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0" name="Line 59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1" name="Line 59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2" name="Line 59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3" name="Line 59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4" name="Line 59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5" name="Line 59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6" name="Line 60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7" name="Line 60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8" name="Line 60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39" name="Line 60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0" name="Line 60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1" name="Line 60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2" name="Line 60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3" name="Line 60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4" name="Line 60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5" name="Line 60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6" name="Line 61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7" name="Line 61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8" name="Line 61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49" name="Line 61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0" name="Line 61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1" name="Line 61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2" name="Line 61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3" name="Line 61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4" name="Line 61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5" name="Line 61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6" name="Line 62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7" name="Line 62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8" name="Line 62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59" name="Line 62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0" name="Line 62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1" name="Line 62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2" name="Line 62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3" name="Line 62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4" name="Line 62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5" name="Line 62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6" name="Line 63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7" name="Line 63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8" name="Line 63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69" name="Line 63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0" name="Line 63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1" name="Line 63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2" name="Line 63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3" name="Line 63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4" name="Line 63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5" name="Line 63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6" name="Line 64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7" name="Line 64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8" name="Line 64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79" name="Line 64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0" name="Line 64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1" name="Line 64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2" name="Line 64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3" name="Line 64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4" name="Line 64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5" name="Line 64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6" name="Line 65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7" name="Line 65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8" name="Line 65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89" name="Line 65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0" name="Line 65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1" name="Line 65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2" name="Line 65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3" name="Line 65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4" name="Line 65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5" name="Line 65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6" name="Line 66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7" name="Line 66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8" name="Line 66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599" name="Line 66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0" name="Line 66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1" name="Line 66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2" name="Line 66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3" name="Line 66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4" name="Line 66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5" name="Line 66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6" name="Line 670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7" name="Line 671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8" name="Line 672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09" name="Line 673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0" name="Line 674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1" name="Line 675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2" name="Line 676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3" name="Line 677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4" name="Line 678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139615" name="Line 679"/>
        <xdr:cNvSpPr>
          <a:spLocks noChangeShapeType="1"/>
        </xdr:cNvSpPr>
      </xdr:nvSpPr>
      <xdr:spPr bwMode="auto">
        <a:xfrm flipV="1">
          <a:off x="3200400" y="404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10</xdr:row>
      <xdr:rowOff>47625</xdr:rowOff>
    </xdr:from>
    <xdr:to>
      <xdr:col>7</xdr:col>
      <xdr:colOff>533400</xdr:colOff>
      <xdr:row>13</xdr:row>
      <xdr:rowOff>19050</xdr:rowOff>
    </xdr:to>
    <xdr:sp macro="" textlink="">
      <xdr:nvSpPr>
        <xdr:cNvPr id="36865" name="AutoShape 1"/>
        <xdr:cNvSpPr>
          <a:spLocks noChangeArrowheads="1"/>
        </xdr:cNvSpPr>
      </xdr:nvSpPr>
      <xdr:spPr bwMode="auto">
        <a:xfrm>
          <a:off x="1685925" y="1762125"/>
          <a:ext cx="3019425" cy="485775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금   비  토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1</xdr:col>
      <xdr:colOff>9525</xdr:colOff>
      <xdr:row>46</xdr:row>
      <xdr:rowOff>9525</xdr:rowOff>
    </xdr:to>
    <xdr:pic>
      <xdr:nvPicPr>
        <xdr:cNvPr id="14131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7325" y="872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</xdr:colOff>
      <xdr:row>47</xdr:row>
      <xdr:rowOff>9525</xdr:rowOff>
    </xdr:to>
    <xdr:pic>
      <xdr:nvPicPr>
        <xdr:cNvPr id="14131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90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9525</xdr:colOff>
      <xdr:row>97</xdr:row>
      <xdr:rowOff>9525</xdr:rowOff>
    </xdr:to>
    <xdr:pic>
      <xdr:nvPicPr>
        <xdr:cNvPr id="14131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7325" y="1747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131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7325" y="26060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123825</xdr:colOff>
      <xdr:row>9</xdr:row>
      <xdr:rowOff>152400</xdr:rowOff>
    </xdr:from>
    <xdr:ext cx="2871703" cy="540413"/>
    <xdr:sp macro="" textlink="">
      <xdr:nvSpPr>
        <xdr:cNvPr id="33797" name="AutoShape 5"/>
        <xdr:cNvSpPr>
          <a:spLocks noChangeArrowheads="1"/>
        </xdr:cNvSpPr>
      </xdr:nvSpPr>
      <xdr:spPr bwMode="auto">
        <a:xfrm>
          <a:off x="1590675" y="1695450"/>
          <a:ext cx="2804919" cy="549894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wrap="none" lIns="54864" tIns="41148" rIns="54864" bIns="41148" anchor="ctr" upright="1">
          <a:spAutoFit/>
        </a:bodyPr>
        <a:lstStyle/>
        <a:p>
          <a:pPr algn="ctr" rtl="0">
            <a:defRPr sz="1000"/>
          </a:pPr>
          <a:r>
            <a:rPr lang="ko-KR" altLang="en-US" sz="2800" b="1" i="0" strike="noStrike">
              <a:solidFill>
                <a:srgbClr val="000000"/>
              </a:solidFill>
              <a:latin typeface="돋움"/>
              <a:ea typeface="돋움"/>
            </a:rPr>
            <a:t>탑    쏘    일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12</xdr:row>
      <xdr:rowOff>9525</xdr:rowOff>
    </xdr:from>
    <xdr:to>
      <xdr:col>6</xdr:col>
      <xdr:colOff>561975</xdr:colOff>
      <xdr:row>14</xdr:row>
      <xdr:rowOff>142875</xdr:rowOff>
    </xdr:to>
    <xdr:sp macro="" textlink="">
      <xdr:nvSpPr>
        <xdr:cNvPr id="34817" name="AutoShape 1"/>
        <xdr:cNvSpPr>
          <a:spLocks noChangeArrowheads="1"/>
        </xdr:cNvSpPr>
      </xdr:nvSpPr>
      <xdr:spPr bwMode="auto">
        <a:xfrm>
          <a:off x="2162175" y="2066925"/>
          <a:ext cx="3267075" cy="476250"/>
        </a:xfrm>
        <a:prstGeom prst="flowChartPredefinedProcess">
          <a:avLst/>
        </a:prstGeom>
        <a:solidFill>
          <a:srgbClr val="E3E3E3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en-US" altLang="ko-KR" sz="2800" b="1" i="0" strike="noStrike">
              <a:solidFill>
                <a:srgbClr val="000000"/>
              </a:solidFill>
              <a:latin typeface="돋움"/>
              <a:ea typeface="돋움"/>
            </a:rPr>
            <a:t>CODRA</a:t>
          </a:r>
        </a:p>
        <a:p>
          <a:pPr algn="ctr" rtl="0">
            <a:defRPr sz="1000"/>
          </a:pPr>
          <a:endParaRPr lang="en-US" altLang="ko-KR" sz="2800" b="1" i="0" strike="noStrike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en-US" altLang="ko-KR" sz="28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5.bin"/><Relationship Id="rId4" Type="http://schemas.openxmlformats.org/officeDocument/2006/relationships/comments" Target="../comments2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7.bin"/><Relationship Id="rId4" Type="http://schemas.openxmlformats.org/officeDocument/2006/relationships/comments" Target="../comments4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3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zoomScaleSheetLayoutView="4"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3"/>
  <sheetViews>
    <sheetView view="pageBreakPreview" zoomScale="75" zoomScaleSheetLayoutView="75" workbookViewId="0">
      <selection activeCell="P6" sqref="P6"/>
    </sheetView>
  </sheetViews>
  <sheetFormatPr defaultColWidth="2.77734375" defaultRowHeight="17.100000000000001" customHeight="1"/>
  <cols>
    <col min="1" max="4" width="2.77734375" style="157" customWidth="1"/>
    <col min="5" max="5" width="3.109375" style="157" customWidth="1"/>
    <col min="6" max="11" width="2.77734375" style="157" customWidth="1"/>
    <col min="12" max="12" width="3" style="157" customWidth="1"/>
    <col min="13" max="13" width="2.77734375" style="157" customWidth="1"/>
    <col min="14" max="14" width="3.21875" style="157" customWidth="1"/>
    <col min="15" max="16384" width="2.77734375" style="157"/>
  </cols>
  <sheetData>
    <row r="1" spans="4:4" customFormat="1" ht="13.5">
      <c r="D1" s="338"/>
    </row>
    <row r="2" spans="4:4" customFormat="1" ht="13.5">
      <c r="D2" s="338"/>
    </row>
    <row r="3" spans="4:4" customFormat="1" ht="13.5">
      <c r="D3" s="338"/>
    </row>
    <row r="4" spans="4:4" customFormat="1" ht="13.5">
      <c r="D4" s="338"/>
    </row>
    <row r="5" spans="4:4" customFormat="1" ht="13.5">
      <c r="D5" s="338"/>
    </row>
    <row r="6" spans="4:4" customFormat="1" ht="13.5">
      <c r="D6" s="338"/>
    </row>
    <row r="7" spans="4:4" customFormat="1" ht="13.5">
      <c r="D7" s="338"/>
    </row>
    <row r="8" spans="4:4" customFormat="1" ht="13.5">
      <c r="D8" s="338"/>
    </row>
    <row r="9" spans="4:4" customFormat="1" ht="13.5">
      <c r="D9" s="338"/>
    </row>
    <row r="10" spans="4:4" customFormat="1" ht="13.5">
      <c r="D10" s="338"/>
    </row>
    <row r="11" spans="4:4" customFormat="1" ht="13.5">
      <c r="D11" s="338"/>
    </row>
    <row r="12" spans="4:4" customFormat="1" ht="13.5">
      <c r="D12" s="338"/>
    </row>
    <row r="13" spans="4:4" customFormat="1" ht="13.5">
      <c r="D13" s="338"/>
    </row>
    <row r="14" spans="4:4" customFormat="1" ht="13.5">
      <c r="D14" s="338"/>
    </row>
    <row r="15" spans="4:4" customFormat="1" ht="13.5">
      <c r="D15" s="338"/>
    </row>
    <row r="16" spans="4:4" customFormat="1" ht="13.5">
      <c r="D16" s="338"/>
    </row>
    <row r="17" spans="3:18" customFormat="1" ht="13.5">
      <c r="D17" s="338"/>
    </row>
    <row r="18" spans="3:18" customFormat="1" ht="13.5">
      <c r="D18" s="338"/>
    </row>
    <row r="19" spans="3:18" customFormat="1" ht="13.5">
      <c r="D19" s="338"/>
    </row>
    <row r="20" spans="3:18" s="339" customFormat="1" ht="30" customHeight="1">
      <c r="C20" s="1554"/>
      <c r="D20" s="1554"/>
      <c r="E20" s="1554"/>
      <c r="F20" s="1554"/>
      <c r="G20" s="1554"/>
      <c r="H20" s="1554"/>
    </row>
    <row r="21" spans="3:18" s="339" customFormat="1" ht="30" customHeight="1">
      <c r="D21" s="387"/>
    </row>
    <row r="22" spans="3:18" s="339" customFormat="1" ht="30" customHeight="1">
      <c r="C22" s="400"/>
      <c r="D22" s="1543"/>
      <c r="E22" s="1543"/>
      <c r="F22" s="1543"/>
      <c r="G22" s="1543"/>
      <c r="H22" s="400"/>
      <c r="I22" s="1555" t="s">
        <v>1651</v>
      </c>
      <c r="J22" s="1549"/>
      <c r="K22" s="1549" t="s">
        <v>1652</v>
      </c>
      <c r="L22" s="1549"/>
      <c r="M22" s="1549" t="s">
        <v>1653</v>
      </c>
      <c r="N22" s="1549"/>
      <c r="O22" s="1549"/>
      <c r="P22" s="1549" t="s">
        <v>1654</v>
      </c>
      <c r="Q22" s="1549"/>
      <c r="R22" s="1550"/>
    </row>
    <row r="23" spans="3:18" s="339" customFormat="1" ht="30" customHeight="1">
      <c r="C23" s="402"/>
      <c r="D23" s="403"/>
      <c r="E23" s="400"/>
      <c r="F23" s="1542"/>
      <c r="G23" s="1543"/>
      <c r="H23" s="400"/>
      <c r="I23" s="1547" t="s">
        <v>1655</v>
      </c>
      <c r="J23" s="1548"/>
      <c r="K23" s="1548" t="s">
        <v>1656</v>
      </c>
      <c r="L23" s="1548"/>
      <c r="M23" s="1552">
        <f>X83</f>
        <v>5069</v>
      </c>
      <c r="N23" s="1548"/>
      <c r="O23" s="1548"/>
      <c r="P23" s="1548"/>
      <c r="Q23" s="1548"/>
      <c r="R23" s="1551"/>
    </row>
    <row r="24" spans="3:18" s="339" customFormat="1" ht="30" customHeight="1">
      <c r="C24" s="402"/>
      <c r="D24" s="403"/>
      <c r="E24" s="400"/>
      <c r="F24" s="1542"/>
      <c r="G24" s="1543"/>
      <c r="H24" s="400"/>
      <c r="I24" s="1544" t="s">
        <v>1657</v>
      </c>
      <c r="J24" s="1545"/>
      <c r="K24" s="1545" t="s">
        <v>1658</v>
      </c>
      <c r="L24" s="1545"/>
      <c r="M24" s="1553">
        <f>X123</f>
        <v>9979</v>
      </c>
      <c r="N24" s="1545"/>
      <c r="O24" s="1545"/>
      <c r="P24" s="1545"/>
      <c r="Q24" s="1545"/>
      <c r="R24" s="1546"/>
    </row>
    <row r="25" spans="3:18" s="339" customFormat="1" ht="30" customHeight="1">
      <c r="C25" s="402"/>
      <c r="D25" s="403"/>
      <c r="E25" s="400"/>
      <c r="F25" s="1542"/>
      <c r="G25" s="1543"/>
      <c r="H25" s="400"/>
    </row>
    <row r="26" spans="3:18" customFormat="1" ht="13.5">
      <c r="D26" s="338"/>
    </row>
    <row r="27" spans="3:18" customFormat="1" ht="13.5">
      <c r="D27" s="338"/>
    </row>
    <row r="28" spans="3:18" customFormat="1" ht="13.5">
      <c r="D28" s="338"/>
    </row>
    <row r="29" spans="3:18" customFormat="1" ht="13.5">
      <c r="D29" s="338"/>
    </row>
    <row r="30" spans="3:18" customFormat="1" ht="13.5">
      <c r="D30" s="338"/>
    </row>
    <row r="31" spans="3:18" customFormat="1" ht="13.5">
      <c r="D31" s="338"/>
    </row>
    <row r="32" spans="3:18" customFormat="1" ht="13.5">
      <c r="D32" s="338"/>
    </row>
    <row r="33" spans="1:26" customFormat="1" ht="13.5">
      <c r="D33" s="338"/>
    </row>
    <row r="34" spans="1:26" customFormat="1" ht="13.5">
      <c r="D34" s="338"/>
    </row>
    <row r="35" spans="1:26" customFormat="1" ht="13.5">
      <c r="D35" s="338"/>
    </row>
    <row r="36" spans="1:26" customFormat="1" ht="13.5">
      <c r="D36" s="338"/>
    </row>
    <row r="37" spans="1:26" customFormat="1" ht="13.5">
      <c r="D37" s="338"/>
    </row>
    <row r="38" spans="1:26" customFormat="1" ht="13.5">
      <c r="D38" s="338"/>
    </row>
    <row r="39" spans="1:26" customFormat="1" ht="13.5">
      <c r="D39" s="338"/>
    </row>
    <row r="40" spans="1:26" customFormat="1" ht="13.5">
      <c r="D40" s="338"/>
    </row>
    <row r="41" spans="1:26" customFormat="1" ht="13.5">
      <c r="D41" s="338"/>
    </row>
    <row r="42" spans="1:26" customFormat="1" ht="13.5">
      <c r="D42" s="338"/>
    </row>
    <row r="43" spans="1:26" customFormat="1" ht="13.5">
      <c r="D43" s="338"/>
    </row>
    <row r="44" spans="1:26" ht="17.100000000000001" customHeight="1">
      <c r="A44" s="1510" t="s">
        <v>1659</v>
      </c>
      <c r="B44" s="1511"/>
      <c r="C44" s="1511"/>
      <c r="D44" s="1511"/>
      <c r="E44" s="1511"/>
      <c r="F44" s="1511"/>
      <c r="G44" s="1511"/>
      <c r="H44" s="1511"/>
      <c r="I44" s="1511"/>
      <c r="J44" s="1511"/>
      <c r="K44" s="1511"/>
      <c r="L44" s="1511"/>
      <c r="M44" s="1511"/>
      <c r="N44" s="1512"/>
      <c r="O44" s="1524" t="s">
        <v>1660</v>
      </c>
      <c r="P44" s="1511"/>
      <c r="Q44" s="1512"/>
      <c r="R44" s="1524" t="s">
        <v>1661</v>
      </c>
      <c r="S44" s="1511"/>
      <c r="T44" s="1512"/>
      <c r="U44" s="1524" t="s">
        <v>1662</v>
      </c>
      <c r="V44" s="1511"/>
      <c r="W44" s="1512"/>
      <c r="X44" s="1524" t="s">
        <v>1663</v>
      </c>
      <c r="Y44" s="1511"/>
      <c r="Z44" s="1541"/>
    </row>
    <row r="45" spans="1:26" ht="17.100000000000001" customHeight="1">
      <c r="A45" s="295" t="s">
        <v>1664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1537"/>
      <c r="P45" s="1538"/>
      <c r="Q45" s="1539"/>
      <c r="R45" s="1537"/>
      <c r="S45" s="1538"/>
      <c r="T45" s="1539"/>
      <c r="U45" s="1537"/>
      <c r="V45" s="1538"/>
      <c r="W45" s="1539"/>
      <c r="X45" s="1537"/>
      <c r="Y45" s="1538"/>
      <c r="Z45" s="1540"/>
    </row>
    <row r="46" spans="1:26" ht="17.100000000000001" customHeight="1">
      <c r="A46" s="297"/>
      <c r="B46" s="296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1519"/>
      <c r="P46" s="1513"/>
      <c r="Q46" s="1520"/>
      <c r="R46" s="1519"/>
      <c r="S46" s="1513"/>
      <c r="T46" s="1520"/>
      <c r="U46" s="1519"/>
      <c r="V46" s="1513"/>
      <c r="W46" s="1520"/>
      <c r="X46" s="1519"/>
      <c r="Y46" s="1513"/>
      <c r="Z46" s="1528"/>
    </row>
    <row r="47" spans="1:26" ht="17.100000000000001" customHeight="1">
      <c r="A47" s="298" t="s">
        <v>1665</v>
      </c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1519"/>
      <c r="P47" s="1513"/>
      <c r="Q47" s="1520"/>
      <c r="R47" s="1519"/>
      <c r="S47" s="1513"/>
      <c r="T47" s="1520"/>
      <c r="U47" s="1519"/>
      <c r="V47" s="1513"/>
      <c r="W47" s="1520"/>
      <c r="X47" s="1519"/>
      <c r="Y47" s="1513"/>
      <c r="Z47" s="1528"/>
    </row>
    <row r="48" spans="1:26" ht="17.100000000000001" customHeight="1">
      <c r="A48" s="569" t="s">
        <v>1666</v>
      </c>
      <c r="B48" s="299"/>
      <c r="C48" s="299"/>
      <c r="D48" s="299"/>
      <c r="E48" s="299"/>
      <c r="F48" s="299"/>
      <c r="G48" s="299"/>
      <c r="H48" s="299"/>
      <c r="I48" s="296"/>
      <c r="J48" s="296"/>
      <c r="K48" s="296"/>
      <c r="L48" s="296"/>
      <c r="M48" s="296"/>
      <c r="N48" s="296"/>
      <c r="O48" s="1519"/>
      <c r="P48" s="1513"/>
      <c r="Q48" s="1520"/>
      <c r="R48" s="1519"/>
      <c r="S48" s="1513"/>
      <c r="T48" s="1520"/>
      <c r="U48" s="1519"/>
      <c r="V48" s="1513"/>
      <c r="W48" s="1520"/>
      <c r="X48" s="1519"/>
      <c r="Y48" s="1513"/>
      <c r="Z48" s="1528"/>
    </row>
    <row r="49" spans="1:26" ht="17.100000000000001" customHeight="1">
      <c r="A49" s="298"/>
      <c r="B49" s="570">
        <v>11</v>
      </c>
      <c r="C49" s="570" t="s">
        <v>1667</v>
      </c>
      <c r="D49" s="570" t="s">
        <v>1668</v>
      </c>
      <c r="E49" s="572">
        <v>1.1000000000000001</v>
      </c>
      <c r="F49" s="571" t="s">
        <v>1669</v>
      </c>
      <c r="G49" s="571">
        <v>3</v>
      </c>
      <c r="H49" s="570" t="s">
        <v>1670</v>
      </c>
      <c r="I49" s="1509">
        <f ca="1">'8.0자재단가'!I21</f>
        <v>220</v>
      </c>
      <c r="J49" s="1509"/>
      <c r="K49" s="299"/>
      <c r="L49" s="1508"/>
      <c r="M49" s="1508"/>
      <c r="N49" s="299"/>
      <c r="O49" s="1519"/>
      <c r="P49" s="1513"/>
      <c r="Q49" s="1520"/>
      <c r="R49" s="1519"/>
      <c r="S49" s="1513"/>
      <c r="T49" s="1520"/>
      <c r="U49" s="1519"/>
      <c r="V49" s="1513"/>
      <c r="W49" s="1520"/>
      <c r="X49" s="1519"/>
      <c r="Y49" s="1513"/>
      <c r="Z49" s="1528"/>
    </row>
    <row r="50" spans="1:26" ht="17.100000000000001" customHeight="1">
      <c r="A50" s="298"/>
      <c r="B50" s="299"/>
      <c r="C50" s="299"/>
      <c r="D50" s="299"/>
      <c r="E50" s="299"/>
      <c r="F50" s="299"/>
      <c r="G50" s="299"/>
      <c r="H50" s="299"/>
      <c r="I50" s="300" t="s">
        <v>1671</v>
      </c>
      <c r="J50" s="1516">
        <f>ROUND(B49*E49/G49*I49,1)</f>
        <v>887.3</v>
      </c>
      <c r="K50" s="1516"/>
      <c r="L50" s="1516"/>
      <c r="M50" s="299"/>
      <c r="N50" s="299"/>
      <c r="O50" s="1519">
        <f>J50</f>
        <v>887.3</v>
      </c>
      <c r="P50" s="1513"/>
      <c r="Q50" s="1520"/>
      <c r="R50" s="1519"/>
      <c r="S50" s="1513"/>
      <c r="T50" s="1520"/>
      <c r="U50" s="1519"/>
      <c r="V50" s="1513"/>
      <c r="W50" s="1520"/>
      <c r="X50" s="1519">
        <f>SUM(O50:W50)</f>
        <v>887.3</v>
      </c>
      <c r="Y50" s="1513"/>
      <c r="Z50" s="1528"/>
    </row>
    <row r="51" spans="1:26" ht="17.100000000000001" customHeight="1">
      <c r="A51" s="298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1519"/>
      <c r="P51" s="1513"/>
      <c r="Q51" s="1520"/>
      <c r="R51" s="1519"/>
      <c r="S51" s="1513"/>
      <c r="T51" s="1520"/>
      <c r="U51" s="1519"/>
      <c r="V51" s="1513"/>
      <c r="W51" s="1520"/>
      <c r="X51" s="1519"/>
      <c r="Y51" s="1513"/>
      <c r="Z51" s="1528"/>
    </row>
    <row r="52" spans="1:26" ht="17.100000000000001" customHeight="1">
      <c r="A52" s="298" t="s">
        <v>1672</v>
      </c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1519"/>
      <c r="P52" s="1513"/>
      <c r="Q52" s="1520"/>
      <c r="R52" s="1519"/>
      <c r="S52" s="1513"/>
      <c r="T52" s="1520"/>
      <c r="U52" s="1519"/>
      <c r="V52" s="1513"/>
      <c r="W52" s="1520"/>
      <c r="X52" s="1519"/>
      <c r="Y52" s="1513"/>
      <c r="Z52" s="1528"/>
    </row>
    <row r="53" spans="1:26" ht="17.100000000000001" customHeight="1">
      <c r="A53" s="301" t="s">
        <v>1673</v>
      </c>
      <c r="B53" s="299" t="s">
        <v>1674</v>
      </c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1519"/>
      <c r="P53" s="1513"/>
      <c r="Q53" s="1520"/>
      <c r="R53" s="1519"/>
      <c r="S53" s="1513"/>
      <c r="T53" s="1520"/>
      <c r="U53" s="1519"/>
      <c r="V53" s="1513"/>
      <c r="W53" s="1520"/>
      <c r="X53" s="1519"/>
      <c r="Y53" s="1513"/>
      <c r="Z53" s="1528"/>
    </row>
    <row r="54" spans="1:26" ht="17.100000000000001" customHeight="1">
      <c r="A54" s="298"/>
      <c r="B54" s="299" t="s">
        <v>1675</v>
      </c>
      <c r="C54" s="299"/>
      <c r="D54" s="299"/>
      <c r="E54" s="299"/>
      <c r="F54" s="299"/>
      <c r="G54" s="299"/>
      <c r="H54" s="302"/>
      <c r="I54" s="300" t="s">
        <v>1671</v>
      </c>
      <c r="J54" s="1517">
        <v>2000</v>
      </c>
      <c r="K54" s="1517"/>
      <c r="L54" s="299" t="s">
        <v>1676</v>
      </c>
      <c r="M54" s="299"/>
      <c r="N54" s="299"/>
      <c r="O54" s="1519"/>
      <c r="P54" s="1513"/>
      <c r="Q54" s="1520"/>
      <c r="R54" s="1519"/>
      <c r="S54" s="1513"/>
      <c r="T54" s="1520"/>
      <c r="U54" s="1519"/>
      <c r="V54" s="1513"/>
      <c r="W54" s="1520"/>
      <c r="X54" s="1519"/>
      <c r="Y54" s="1513"/>
      <c r="Z54" s="1528"/>
    </row>
    <row r="55" spans="1:26" ht="17.100000000000001" customHeight="1">
      <c r="A55" s="298"/>
      <c r="B55" s="299" t="s">
        <v>1677</v>
      </c>
      <c r="C55" s="299"/>
      <c r="D55" s="299"/>
      <c r="E55" s="299"/>
      <c r="F55" s="299"/>
      <c r="G55" s="299"/>
      <c r="H55" s="299"/>
      <c r="I55" s="299"/>
      <c r="J55" s="1513">
        <f>480-30</f>
        <v>450</v>
      </c>
      <c r="K55" s="1513"/>
      <c r="L55" s="299" t="s">
        <v>1678</v>
      </c>
      <c r="M55" s="299"/>
      <c r="N55" s="299"/>
      <c r="O55" s="1519"/>
      <c r="P55" s="1513"/>
      <c r="Q55" s="1520"/>
      <c r="R55" s="1519"/>
      <c r="S55" s="1513"/>
      <c r="T55" s="1520"/>
      <c r="U55" s="1519"/>
      <c r="V55" s="1513"/>
      <c r="W55" s="1520"/>
      <c r="X55" s="1519"/>
      <c r="Y55" s="1513"/>
      <c r="Z55" s="1528"/>
    </row>
    <row r="56" spans="1:26" ht="17.100000000000001" customHeight="1">
      <c r="A56" s="298"/>
      <c r="B56" s="299" t="s">
        <v>1679</v>
      </c>
      <c r="C56" s="299"/>
      <c r="D56" s="299"/>
      <c r="E56" s="299"/>
      <c r="F56" s="299"/>
      <c r="G56" s="299"/>
      <c r="H56" s="299"/>
      <c r="I56" s="300" t="s">
        <v>1671</v>
      </c>
      <c r="J56" s="1513">
        <v>100</v>
      </c>
      <c r="K56" s="1513"/>
      <c r="L56" s="299" t="s">
        <v>1680</v>
      </c>
      <c r="M56" s="299"/>
      <c r="N56" s="299"/>
      <c r="O56" s="1519"/>
      <c r="P56" s="1513"/>
      <c r="Q56" s="1520"/>
      <c r="R56" s="1519"/>
      <c r="S56" s="1513"/>
      <c r="T56" s="1520"/>
      <c r="U56" s="1519"/>
      <c r="V56" s="1513"/>
      <c r="W56" s="1520"/>
      <c r="X56" s="1519"/>
      <c r="Y56" s="1513"/>
      <c r="Z56" s="1528"/>
    </row>
    <row r="57" spans="1:26" ht="17.100000000000001" customHeight="1">
      <c r="A57" s="298"/>
      <c r="B57" s="299" t="s">
        <v>1681</v>
      </c>
      <c r="C57" s="299"/>
      <c r="D57" s="299"/>
      <c r="E57" s="299"/>
      <c r="F57" s="299"/>
      <c r="G57" s="299"/>
      <c r="H57" s="299"/>
      <c r="I57" s="300" t="s">
        <v>1671</v>
      </c>
      <c r="J57" s="1513">
        <v>2</v>
      </c>
      <c r="K57" s="1513"/>
      <c r="L57" s="299" t="s">
        <v>1678</v>
      </c>
      <c r="M57" s="299"/>
      <c r="N57" s="299"/>
      <c r="O57" s="1519"/>
      <c r="P57" s="1513"/>
      <c r="Q57" s="1520"/>
      <c r="R57" s="1519"/>
      <c r="S57" s="1513"/>
      <c r="T57" s="1520"/>
      <c r="U57" s="1519"/>
      <c r="V57" s="1513"/>
      <c r="W57" s="1520"/>
      <c r="X57" s="1519"/>
      <c r="Y57" s="1513"/>
      <c r="Z57" s="1528"/>
    </row>
    <row r="58" spans="1:26" ht="17.100000000000001" customHeight="1">
      <c r="A58" s="298"/>
      <c r="B58" s="299" t="s">
        <v>1682</v>
      </c>
      <c r="C58" s="299"/>
      <c r="D58" s="299"/>
      <c r="E58" s="299"/>
      <c r="F58" s="299"/>
      <c r="G58" s="299"/>
      <c r="H58" s="299"/>
      <c r="I58" s="300" t="s">
        <v>1671</v>
      </c>
      <c r="J58" s="1513">
        <v>30</v>
      </c>
      <c r="K58" s="1513"/>
      <c r="L58" s="299" t="s">
        <v>1683</v>
      </c>
      <c r="M58" s="299"/>
      <c r="N58" s="299"/>
      <c r="O58" s="1519"/>
      <c r="P58" s="1513"/>
      <c r="Q58" s="1520"/>
      <c r="R58" s="1519"/>
      <c r="S58" s="1513"/>
      <c r="T58" s="1520"/>
      <c r="U58" s="1519"/>
      <c r="V58" s="1513"/>
      <c r="W58" s="1520"/>
      <c r="X58" s="1519"/>
      <c r="Y58" s="1513"/>
      <c r="Z58" s="1528"/>
    </row>
    <row r="59" spans="1:26" ht="17.100000000000001" customHeight="1">
      <c r="A59" s="301" t="s">
        <v>1673</v>
      </c>
      <c r="B59" s="299" t="s">
        <v>1684</v>
      </c>
      <c r="C59" s="299"/>
      <c r="D59" s="299"/>
      <c r="E59" s="299"/>
      <c r="F59" s="299"/>
      <c r="G59" s="299"/>
      <c r="H59" s="299"/>
      <c r="I59" s="299"/>
      <c r="J59" s="1518">
        <f>ROUND(J54*J55/(120*J56+J54*J57),3)</f>
        <v>56.25</v>
      </c>
      <c r="K59" s="1518"/>
      <c r="L59" s="299" t="s">
        <v>1685</v>
      </c>
      <c r="M59" s="299"/>
      <c r="N59" s="299"/>
      <c r="O59" s="1519"/>
      <c r="P59" s="1513"/>
      <c r="Q59" s="1520"/>
      <c r="R59" s="1519"/>
      <c r="S59" s="1513"/>
      <c r="T59" s="1520"/>
      <c r="U59" s="1519"/>
      <c r="V59" s="1513"/>
      <c r="W59" s="1520"/>
      <c r="X59" s="1519"/>
      <c r="Y59" s="1513"/>
      <c r="Z59" s="1528"/>
    </row>
    <row r="60" spans="1:26" ht="17.100000000000001" customHeight="1">
      <c r="A60" s="301" t="s">
        <v>1673</v>
      </c>
      <c r="B60" s="299" t="s">
        <v>1686</v>
      </c>
      <c r="C60" s="299"/>
      <c r="D60" s="299"/>
      <c r="E60" s="299"/>
      <c r="F60" s="299"/>
      <c r="G60" s="299"/>
      <c r="H60" s="299"/>
      <c r="I60" s="300" t="s">
        <v>1671</v>
      </c>
      <c r="J60" s="1513">
        <f>J59*J58</f>
        <v>1687.5</v>
      </c>
      <c r="K60" s="1513"/>
      <c r="L60" s="299" t="s">
        <v>1687</v>
      </c>
      <c r="M60" s="299"/>
      <c r="N60" s="299"/>
      <c r="O60" s="1519"/>
      <c r="P60" s="1513"/>
      <c r="Q60" s="1520"/>
      <c r="R60" s="1519"/>
      <c r="S60" s="1513"/>
      <c r="T60" s="1520"/>
      <c r="U60" s="1519"/>
      <c r="V60" s="1513"/>
      <c r="W60" s="1520"/>
      <c r="X60" s="1519"/>
      <c r="Y60" s="1513"/>
      <c r="Z60" s="1528"/>
    </row>
    <row r="61" spans="1:26" ht="17.100000000000001" customHeight="1">
      <c r="A61" s="301" t="s">
        <v>1673</v>
      </c>
      <c r="B61" s="299" t="s">
        <v>1688</v>
      </c>
      <c r="C61" s="299"/>
      <c r="D61" s="300"/>
      <c r="E61" s="299" t="s">
        <v>1689</v>
      </c>
      <c r="F61" s="299"/>
      <c r="G61" s="299"/>
      <c r="H61" s="299"/>
      <c r="I61" s="299" t="s">
        <v>1690</v>
      </c>
      <c r="J61" s="1522">
        <f ca="1">'11.0시중노임'!F6</f>
        <v>68965</v>
      </c>
      <c r="K61" s="1522"/>
      <c r="L61" s="1522"/>
      <c r="M61" s="303"/>
      <c r="N61" s="299"/>
      <c r="O61" s="1519"/>
      <c r="P61" s="1513"/>
      <c r="Q61" s="1520"/>
      <c r="R61" s="1519"/>
      <c r="S61" s="1513"/>
      <c r="T61" s="1520"/>
      <c r="U61" s="1519"/>
      <c r="V61" s="1513"/>
      <c r="W61" s="1520"/>
      <c r="X61" s="1519"/>
      <c r="Y61" s="1513"/>
      <c r="Z61" s="1528"/>
    </row>
    <row r="62" spans="1:26" ht="17.100000000000001" customHeight="1">
      <c r="A62" s="298"/>
      <c r="B62" s="299"/>
      <c r="C62" s="299"/>
      <c r="D62" s="300"/>
      <c r="E62" s="299"/>
      <c r="F62" s="299"/>
      <c r="G62" s="299"/>
      <c r="H62" s="299"/>
      <c r="I62" s="300" t="s">
        <v>1671</v>
      </c>
      <c r="J62" s="1516">
        <f>ROUND(1/J60*B49*1.1*J61,1)</f>
        <v>494.5</v>
      </c>
      <c r="K62" s="1516"/>
      <c r="L62" s="1516"/>
      <c r="M62" s="299"/>
      <c r="N62" s="299"/>
      <c r="O62" s="1519"/>
      <c r="P62" s="1513"/>
      <c r="Q62" s="1520"/>
      <c r="R62" s="1519">
        <f>J62</f>
        <v>494.5</v>
      </c>
      <c r="S62" s="1513"/>
      <c r="T62" s="1520"/>
      <c r="U62" s="1519"/>
      <c r="V62" s="1513"/>
      <c r="W62" s="1520"/>
      <c r="X62" s="1519">
        <f>SUM(O62:W62)</f>
        <v>494.5</v>
      </c>
      <c r="Y62" s="1513"/>
      <c r="Z62" s="1528"/>
    </row>
    <row r="63" spans="1:26" ht="17.100000000000001" customHeight="1">
      <c r="A63" s="298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1519"/>
      <c r="P63" s="1513"/>
      <c r="Q63" s="1520"/>
      <c r="R63" s="1519"/>
      <c r="S63" s="1513"/>
      <c r="T63" s="1520"/>
      <c r="U63" s="1519"/>
      <c r="V63" s="1513"/>
      <c r="W63" s="1520"/>
      <c r="X63" s="1519"/>
      <c r="Y63" s="1513"/>
      <c r="Z63" s="1528"/>
    </row>
    <row r="64" spans="1:26" ht="17.100000000000001" customHeight="1">
      <c r="A64" s="298" t="s">
        <v>1691</v>
      </c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1519"/>
      <c r="P64" s="1513"/>
      <c r="Q64" s="1520"/>
      <c r="R64" s="1519"/>
      <c r="S64" s="1513"/>
      <c r="T64" s="1520"/>
      <c r="U64" s="1519"/>
      <c r="V64" s="1513"/>
      <c r="W64" s="1520"/>
      <c r="X64" s="1519"/>
      <c r="Y64" s="1513"/>
      <c r="Z64" s="1528"/>
    </row>
    <row r="65" spans="1:26" ht="17.100000000000001" customHeight="1">
      <c r="A65" s="301" t="s">
        <v>1673</v>
      </c>
      <c r="B65" s="299" t="s">
        <v>1688</v>
      </c>
      <c r="C65" s="299"/>
      <c r="D65" s="299"/>
      <c r="E65" s="299" t="s">
        <v>1692</v>
      </c>
      <c r="F65" s="299"/>
      <c r="G65" s="299"/>
      <c r="H65" s="299"/>
      <c r="I65" s="1522">
        <f ca="1">'11.0시중노임'!F6</f>
        <v>68965</v>
      </c>
      <c r="J65" s="1522"/>
      <c r="K65" s="1522"/>
      <c r="L65" s="299"/>
      <c r="M65" s="299"/>
      <c r="N65" s="299"/>
      <c r="O65" s="1519"/>
      <c r="P65" s="1513"/>
      <c r="Q65" s="1520"/>
      <c r="R65" s="1519"/>
      <c r="S65" s="1513"/>
      <c r="T65" s="1520"/>
      <c r="U65" s="1519"/>
      <c r="V65" s="1513"/>
      <c r="W65" s="1520"/>
      <c r="X65" s="1519"/>
      <c r="Y65" s="1513"/>
      <c r="Z65" s="1528"/>
    </row>
    <row r="66" spans="1:26" ht="17.100000000000001" customHeight="1">
      <c r="A66" s="298"/>
      <c r="B66" s="299"/>
      <c r="C66" s="299"/>
      <c r="D66" s="299"/>
      <c r="E66" s="299"/>
      <c r="F66" s="299"/>
      <c r="G66" s="299"/>
      <c r="H66" s="299"/>
      <c r="I66" s="300" t="s">
        <v>1671</v>
      </c>
      <c r="J66" s="1521">
        <f>ROUND((5/100)*I65,1)</f>
        <v>3448.3</v>
      </c>
      <c r="K66" s="1521"/>
      <c r="L66" s="1521"/>
      <c r="M66" s="299"/>
      <c r="N66" s="299"/>
      <c r="O66" s="1519"/>
      <c r="P66" s="1513"/>
      <c r="Q66" s="1520"/>
      <c r="R66" s="1525">
        <f>J66</f>
        <v>3448.3</v>
      </c>
      <c r="S66" s="1526"/>
      <c r="T66" s="1527"/>
      <c r="U66" s="1519"/>
      <c r="V66" s="1513"/>
      <c r="W66" s="1520"/>
      <c r="X66" s="1519">
        <f>SUM(O66:W66)</f>
        <v>3448.3</v>
      </c>
      <c r="Y66" s="1513"/>
      <c r="Z66" s="1528"/>
    </row>
    <row r="67" spans="1:26" ht="17.100000000000001" customHeight="1">
      <c r="A67" s="298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1519"/>
      <c r="P67" s="1513"/>
      <c r="Q67" s="1520"/>
      <c r="R67" s="1519"/>
      <c r="S67" s="1513"/>
      <c r="T67" s="1520"/>
      <c r="U67" s="1519"/>
      <c r="V67" s="1513"/>
      <c r="W67" s="1520"/>
      <c r="X67" s="1519"/>
      <c r="Y67" s="1513"/>
      <c r="Z67" s="1528"/>
    </row>
    <row r="68" spans="1:26" ht="17.100000000000001" customHeight="1">
      <c r="A68" s="298" t="s">
        <v>1693</v>
      </c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1519"/>
      <c r="P68" s="1513"/>
      <c r="Q68" s="1520"/>
      <c r="R68" s="1519"/>
      <c r="S68" s="1513"/>
      <c r="T68" s="1520"/>
      <c r="U68" s="1519"/>
      <c r="V68" s="1513"/>
      <c r="W68" s="1520"/>
      <c r="X68" s="1519"/>
      <c r="Y68" s="1513"/>
      <c r="Z68" s="1528"/>
    </row>
    <row r="69" spans="1:26" ht="17.100000000000001" customHeight="1">
      <c r="A69" s="301" t="s">
        <v>1673</v>
      </c>
      <c r="B69" s="299" t="s">
        <v>1688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1519"/>
      <c r="P69" s="1513"/>
      <c r="Q69" s="1520"/>
      <c r="R69" s="1519"/>
      <c r="S69" s="1513"/>
      <c r="T69" s="1520"/>
      <c r="U69" s="1519"/>
      <c r="V69" s="1513"/>
      <c r="W69" s="1520"/>
      <c r="X69" s="1519"/>
      <c r="Y69" s="1513"/>
      <c r="Z69" s="1528"/>
    </row>
    <row r="70" spans="1:26" ht="17.100000000000001" customHeight="1">
      <c r="A70" s="298" t="s">
        <v>1694</v>
      </c>
      <c r="B70" s="299"/>
      <c r="C70" s="299"/>
      <c r="D70" s="299"/>
      <c r="E70" s="299"/>
      <c r="F70" s="299"/>
      <c r="G70" s="299"/>
      <c r="H70" s="299"/>
      <c r="I70" s="300"/>
      <c r="J70" s="299"/>
      <c r="K70" s="299"/>
      <c r="L70" s="299"/>
      <c r="M70" s="1522">
        <f ca="1">'11.0시중노임'!F4</f>
        <v>92218</v>
      </c>
      <c r="N70" s="1523"/>
      <c r="O70" s="1519"/>
      <c r="P70" s="1513"/>
      <c r="Q70" s="1520"/>
      <c r="R70" s="1519"/>
      <c r="S70" s="1513"/>
      <c r="T70" s="1520"/>
      <c r="U70" s="1519"/>
      <c r="V70" s="1513"/>
      <c r="W70" s="1520"/>
      <c r="X70" s="1519"/>
      <c r="Y70" s="1513"/>
      <c r="Z70" s="1528"/>
    </row>
    <row r="71" spans="1:26" ht="17.100000000000001" customHeight="1">
      <c r="A71" s="298"/>
      <c r="B71" s="299"/>
      <c r="C71" s="299"/>
      <c r="D71" s="299"/>
      <c r="E71" s="299"/>
      <c r="F71" s="299"/>
      <c r="G71" s="299"/>
      <c r="H71" s="299"/>
      <c r="I71" s="300" t="s">
        <v>1671</v>
      </c>
      <c r="J71" s="1521">
        <f>ROUND((((0.24+0.19)/2/10)+(7.6/100))/((25+50)/2)*M70,1)</f>
        <v>239.8</v>
      </c>
      <c r="K71" s="1521"/>
      <c r="L71" s="1521"/>
      <c r="M71" s="299"/>
      <c r="N71" s="299"/>
      <c r="O71" s="1519"/>
      <c r="P71" s="1513"/>
      <c r="Q71" s="1520"/>
      <c r="R71" s="1525">
        <f>J71</f>
        <v>239.8</v>
      </c>
      <c r="S71" s="1526"/>
      <c r="T71" s="1527"/>
      <c r="U71" s="1519"/>
      <c r="V71" s="1513"/>
      <c r="W71" s="1520"/>
      <c r="X71" s="1519">
        <f>SUM(O71:W71)</f>
        <v>239.8</v>
      </c>
      <c r="Y71" s="1513"/>
      <c r="Z71" s="1528"/>
    </row>
    <row r="72" spans="1:26" ht="17.100000000000001" customHeight="1">
      <c r="A72" s="298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1519"/>
      <c r="P72" s="1513"/>
      <c r="Q72" s="1520"/>
      <c r="R72" s="1519"/>
      <c r="S72" s="1513"/>
      <c r="T72" s="1520"/>
      <c r="U72" s="1519"/>
      <c r="V72" s="1513"/>
      <c r="W72" s="1520"/>
      <c r="X72" s="1519"/>
      <c r="Y72" s="1513"/>
      <c r="Z72" s="1528"/>
    </row>
    <row r="73" spans="1:26" ht="17.100000000000001" customHeight="1">
      <c r="A73" s="298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1519"/>
      <c r="P73" s="1513"/>
      <c r="Q73" s="1520"/>
      <c r="R73" s="1519"/>
      <c r="S73" s="1513"/>
      <c r="T73" s="1520"/>
      <c r="U73" s="1519"/>
      <c r="V73" s="1513"/>
      <c r="W73" s="1520"/>
      <c r="X73" s="1519"/>
      <c r="Y73" s="1513"/>
      <c r="Z73" s="1528"/>
    </row>
    <row r="74" spans="1:26" ht="17.100000000000001" customHeight="1">
      <c r="A74" s="298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1519"/>
      <c r="P74" s="1513"/>
      <c r="Q74" s="1520"/>
      <c r="R74" s="1519"/>
      <c r="S74" s="1513"/>
      <c r="T74" s="1520"/>
      <c r="U74" s="1519"/>
      <c r="V74" s="1513"/>
      <c r="W74" s="1520"/>
      <c r="X74" s="1519"/>
      <c r="Y74" s="1513"/>
      <c r="Z74" s="1528"/>
    </row>
    <row r="75" spans="1:26" ht="17.100000000000001" customHeight="1">
      <c r="A75" s="298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1519"/>
      <c r="P75" s="1513"/>
      <c r="Q75" s="1520"/>
      <c r="R75" s="1519"/>
      <c r="S75" s="1513"/>
      <c r="T75" s="1520"/>
      <c r="U75" s="1519"/>
      <c r="V75" s="1513"/>
      <c r="W75" s="1520"/>
      <c r="X75" s="1519"/>
      <c r="Y75" s="1513"/>
      <c r="Z75" s="1528"/>
    </row>
    <row r="76" spans="1:26" ht="17.100000000000001" customHeight="1">
      <c r="A76" s="298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1519"/>
      <c r="P76" s="1513"/>
      <c r="Q76" s="1520"/>
      <c r="R76" s="1519"/>
      <c r="S76" s="1513"/>
      <c r="T76" s="1520"/>
      <c r="U76" s="1519"/>
      <c r="V76" s="1513"/>
      <c r="W76" s="1520"/>
      <c r="X76" s="1519"/>
      <c r="Y76" s="1513"/>
      <c r="Z76" s="1528"/>
    </row>
    <row r="77" spans="1:26" ht="17.100000000000001" customHeight="1">
      <c r="A77" s="298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1519"/>
      <c r="P77" s="1513"/>
      <c r="Q77" s="1520"/>
      <c r="R77" s="1519"/>
      <c r="S77" s="1513"/>
      <c r="T77" s="1520"/>
      <c r="U77" s="1519"/>
      <c r="V77" s="1513"/>
      <c r="W77" s="1520"/>
      <c r="X77" s="1519"/>
      <c r="Y77" s="1513"/>
      <c r="Z77" s="1528"/>
    </row>
    <row r="78" spans="1:26" ht="17.100000000000001" customHeight="1">
      <c r="A78" s="298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1519"/>
      <c r="P78" s="1513"/>
      <c r="Q78" s="1520"/>
      <c r="R78" s="1519"/>
      <c r="S78" s="1513"/>
      <c r="T78" s="1520"/>
      <c r="U78" s="1519"/>
      <c r="V78" s="1513"/>
      <c r="W78" s="1520"/>
      <c r="X78" s="1519"/>
      <c r="Y78" s="1513"/>
      <c r="Z78" s="1528"/>
    </row>
    <row r="79" spans="1:26" ht="17.100000000000001" customHeight="1">
      <c r="A79" s="298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1519"/>
      <c r="P79" s="1513"/>
      <c r="Q79" s="1520"/>
      <c r="R79" s="1519"/>
      <c r="S79" s="1513"/>
      <c r="T79" s="1520"/>
      <c r="U79" s="1519"/>
      <c r="V79" s="1513"/>
      <c r="W79" s="1520"/>
      <c r="X79" s="1519"/>
      <c r="Y79" s="1513"/>
      <c r="Z79" s="1528"/>
    </row>
    <row r="80" spans="1:26" ht="17.100000000000001" customHeight="1">
      <c r="A80" s="298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1519"/>
      <c r="P80" s="1513"/>
      <c r="Q80" s="1520"/>
      <c r="R80" s="1519"/>
      <c r="S80" s="1513"/>
      <c r="T80" s="1520"/>
      <c r="U80" s="1519"/>
      <c r="V80" s="1513"/>
      <c r="W80" s="1520"/>
      <c r="X80" s="1519"/>
      <c r="Y80" s="1513"/>
      <c r="Z80" s="1528"/>
    </row>
    <row r="81" spans="1:26" ht="17.100000000000001" customHeight="1">
      <c r="A81" s="298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1519"/>
      <c r="P81" s="1513"/>
      <c r="Q81" s="1520"/>
      <c r="R81" s="1519"/>
      <c r="S81" s="1513"/>
      <c r="T81" s="1520"/>
      <c r="U81" s="1519"/>
      <c r="V81" s="1513"/>
      <c r="W81" s="1520"/>
      <c r="X81" s="1519"/>
      <c r="Y81" s="1513"/>
      <c r="Z81" s="1528"/>
    </row>
    <row r="82" spans="1:26" ht="17.100000000000001" customHeight="1">
      <c r="A82" s="298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1529"/>
      <c r="P82" s="1530"/>
      <c r="Q82" s="1531"/>
      <c r="R82" s="1529"/>
      <c r="S82" s="1530"/>
      <c r="T82" s="1531"/>
      <c r="U82" s="1529"/>
      <c r="V82" s="1530"/>
      <c r="W82" s="1531"/>
      <c r="X82" s="1529"/>
      <c r="Y82" s="1530"/>
      <c r="Z82" s="1532"/>
    </row>
    <row r="83" spans="1:26" ht="17.100000000000001" customHeight="1">
      <c r="A83" s="304"/>
      <c r="B83" s="305" t="s">
        <v>1695</v>
      </c>
      <c r="C83" s="305"/>
      <c r="D83" s="305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1533">
        <f>INT(SUM(O47:Q82))</f>
        <v>887</v>
      </c>
      <c r="P83" s="1534"/>
      <c r="Q83" s="1535"/>
      <c r="R83" s="1533">
        <f>INT(SUM(R47:T82))</f>
        <v>4182</v>
      </c>
      <c r="S83" s="1534"/>
      <c r="T83" s="1535"/>
      <c r="U83" s="1533">
        <f>SUM(U47:W82)</f>
        <v>0</v>
      </c>
      <c r="V83" s="1534"/>
      <c r="W83" s="1535"/>
      <c r="X83" s="1533">
        <f>INT(SUM(X47:Z82))</f>
        <v>5069</v>
      </c>
      <c r="Y83" s="1534"/>
      <c r="Z83" s="1536"/>
    </row>
    <row r="84" spans="1:26" ht="17.100000000000001" customHeight="1">
      <c r="A84" s="1510" t="s">
        <v>1659</v>
      </c>
      <c r="B84" s="1511"/>
      <c r="C84" s="1511"/>
      <c r="D84" s="1511"/>
      <c r="E84" s="1511"/>
      <c r="F84" s="1511"/>
      <c r="G84" s="1511"/>
      <c r="H84" s="1511"/>
      <c r="I84" s="1511"/>
      <c r="J84" s="1511"/>
      <c r="K84" s="1511"/>
      <c r="L84" s="1511"/>
      <c r="M84" s="1511"/>
      <c r="N84" s="1512"/>
      <c r="O84" s="1524" t="s">
        <v>1660</v>
      </c>
      <c r="P84" s="1511"/>
      <c r="Q84" s="1512"/>
      <c r="R84" s="1524" t="s">
        <v>1661</v>
      </c>
      <c r="S84" s="1511"/>
      <c r="T84" s="1512"/>
      <c r="U84" s="1524" t="s">
        <v>1662</v>
      </c>
      <c r="V84" s="1511"/>
      <c r="W84" s="1512"/>
      <c r="X84" s="1524" t="s">
        <v>1663</v>
      </c>
      <c r="Y84" s="1511"/>
      <c r="Z84" s="1541"/>
    </row>
    <row r="85" spans="1:26" ht="17.100000000000001" customHeight="1">
      <c r="A85" s="295" t="s">
        <v>1696</v>
      </c>
      <c r="B85" s="296"/>
      <c r="C85" s="296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1537"/>
      <c r="P85" s="1538"/>
      <c r="Q85" s="1539"/>
      <c r="R85" s="1537"/>
      <c r="S85" s="1538"/>
      <c r="T85" s="1539"/>
      <c r="U85" s="1537"/>
      <c r="V85" s="1538"/>
      <c r="W85" s="1539"/>
      <c r="X85" s="1537"/>
      <c r="Y85" s="1538"/>
      <c r="Z85" s="1540"/>
    </row>
    <row r="86" spans="1:26" ht="17.100000000000001" customHeight="1">
      <c r="A86" s="297"/>
      <c r="B86" s="296"/>
      <c r="C86" s="296"/>
      <c r="D86" s="296"/>
      <c r="E86" s="296"/>
      <c r="F86" s="296"/>
      <c r="G86" s="296"/>
      <c r="H86" s="296"/>
      <c r="I86" s="296"/>
      <c r="J86" s="296"/>
      <c r="K86" s="296"/>
      <c r="L86" s="296"/>
      <c r="M86" s="296"/>
      <c r="N86" s="296"/>
      <c r="O86" s="1519"/>
      <c r="P86" s="1513"/>
      <c r="Q86" s="1520"/>
      <c r="R86" s="1519"/>
      <c r="S86" s="1513"/>
      <c r="T86" s="1520"/>
      <c r="U86" s="1519"/>
      <c r="V86" s="1513"/>
      <c r="W86" s="1520"/>
      <c r="X86" s="1519"/>
      <c r="Y86" s="1513"/>
      <c r="Z86" s="1528"/>
    </row>
    <row r="87" spans="1:26" ht="17.100000000000001" customHeight="1">
      <c r="A87" s="298" t="s">
        <v>1665</v>
      </c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1519"/>
      <c r="P87" s="1513"/>
      <c r="Q87" s="1520"/>
      <c r="R87" s="1519"/>
      <c r="S87" s="1513"/>
      <c r="T87" s="1520"/>
      <c r="U87" s="1519"/>
      <c r="V87" s="1513"/>
      <c r="W87" s="1520"/>
      <c r="X87" s="1519"/>
      <c r="Y87" s="1513"/>
      <c r="Z87" s="1528"/>
    </row>
    <row r="88" spans="1:26" ht="17.100000000000001" customHeight="1">
      <c r="A88" s="569" t="s">
        <v>1666</v>
      </c>
      <c r="B88" s="570"/>
      <c r="C88" s="570"/>
      <c r="D88" s="570"/>
      <c r="E88" s="570"/>
      <c r="F88" s="570"/>
      <c r="G88" s="570"/>
      <c r="H88" s="570"/>
      <c r="I88" s="296"/>
      <c r="J88" s="296"/>
      <c r="K88" s="296"/>
      <c r="L88" s="296"/>
      <c r="M88" s="296"/>
      <c r="N88" s="296"/>
      <c r="O88" s="1519"/>
      <c r="P88" s="1513"/>
      <c r="Q88" s="1520"/>
      <c r="R88" s="1519"/>
      <c r="S88" s="1513"/>
      <c r="T88" s="1520"/>
      <c r="U88" s="1519"/>
      <c r="V88" s="1513"/>
      <c r="W88" s="1520"/>
      <c r="X88" s="1519"/>
      <c r="Y88" s="1513"/>
      <c r="Z88" s="1528"/>
    </row>
    <row r="89" spans="1:26" ht="17.100000000000001" customHeight="1">
      <c r="A89" s="1514">
        <v>11</v>
      </c>
      <c r="B89" s="1515"/>
      <c r="C89" s="570" t="s">
        <v>1667</v>
      </c>
      <c r="D89" s="571" t="s">
        <v>1690</v>
      </c>
      <c r="E89" s="572">
        <v>1.1000000000000001</v>
      </c>
      <c r="F89" s="571" t="s">
        <v>1690</v>
      </c>
      <c r="G89" s="1509">
        <f ca="1">'8.0자재단가'!I21</f>
        <v>220</v>
      </c>
      <c r="H89" s="1509"/>
      <c r="I89" s="300" t="s">
        <v>1671</v>
      </c>
      <c r="J89" s="1521">
        <f>ROUND(A89*E89*G89,1)</f>
        <v>2662</v>
      </c>
      <c r="K89" s="1521"/>
      <c r="L89" s="1521"/>
      <c r="M89" s="299"/>
      <c r="N89" s="299"/>
      <c r="O89" s="1519">
        <f>J89</f>
        <v>2662</v>
      </c>
      <c r="P89" s="1513"/>
      <c r="Q89" s="1520"/>
      <c r="R89" s="1519"/>
      <c r="S89" s="1513"/>
      <c r="T89" s="1520"/>
      <c r="U89" s="1519"/>
      <c r="V89" s="1513"/>
      <c r="W89" s="1520"/>
      <c r="X89" s="1519">
        <f>SUM(O89:W89)</f>
        <v>2662</v>
      </c>
      <c r="Y89" s="1513"/>
      <c r="Z89" s="1528"/>
    </row>
    <row r="90" spans="1:26" ht="17.100000000000001" customHeight="1">
      <c r="A90" s="298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1519"/>
      <c r="P90" s="1513"/>
      <c r="Q90" s="1520"/>
      <c r="R90" s="1519"/>
      <c r="S90" s="1513"/>
      <c r="T90" s="1520"/>
      <c r="U90" s="1519"/>
      <c r="V90" s="1513"/>
      <c r="W90" s="1520"/>
      <c r="X90" s="1519"/>
      <c r="Y90" s="1513"/>
      <c r="Z90" s="1528"/>
    </row>
    <row r="91" spans="1:26" ht="17.100000000000001" customHeight="1">
      <c r="A91" s="298" t="s">
        <v>1672</v>
      </c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1519"/>
      <c r="P91" s="1513"/>
      <c r="Q91" s="1520"/>
      <c r="R91" s="1519"/>
      <c r="S91" s="1513"/>
      <c r="T91" s="1520"/>
      <c r="U91" s="1519"/>
      <c r="V91" s="1513"/>
      <c r="W91" s="1520"/>
      <c r="X91" s="1519"/>
      <c r="Y91" s="1513"/>
      <c r="Z91" s="1528"/>
    </row>
    <row r="92" spans="1:26" ht="17.100000000000001" customHeight="1">
      <c r="A92" s="301" t="s">
        <v>1673</v>
      </c>
      <c r="B92" s="299" t="s">
        <v>1674</v>
      </c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1519"/>
      <c r="P92" s="1513"/>
      <c r="Q92" s="1520"/>
      <c r="R92" s="1519"/>
      <c r="S92" s="1513"/>
      <c r="T92" s="1520"/>
      <c r="U92" s="1519"/>
      <c r="V92" s="1513"/>
      <c r="W92" s="1520"/>
      <c r="X92" s="1519"/>
      <c r="Y92" s="1513"/>
      <c r="Z92" s="1528"/>
    </row>
    <row r="93" spans="1:26" ht="17.100000000000001" customHeight="1">
      <c r="A93" s="298"/>
      <c r="B93" s="299" t="s">
        <v>1675</v>
      </c>
      <c r="C93" s="299"/>
      <c r="D93" s="299"/>
      <c r="E93" s="299"/>
      <c r="F93" s="299"/>
      <c r="G93" s="299"/>
      <c r="H93" s="302"/>
      <c r="I93" s="300" t="s">
        <v>1671</v>
      </c>
      <c r="J93" s="1517">
        <v>2000</v>
      </c>
      <c r="K93" s="1517"/>
      <c r="L93" s="299" t="s">
        <v>1676</v>
      </c>
      <c r="M93" s="299"/>
      <c r="N93" s="299"/>
      <c r="O93" s="1519"/>
      <c r="P93" s="1513"/>
      <c r="Q93" s="1520"/>
      <c r="R93" s="1519"/>
      <c r="S93" s="1513"/>
      <c r="T93" s="1520"/>
      <c r="U93" s="1519"/>
      <c r="V93" s="1513"/>
      <c r="W93" s="1520"/>
      <c r="X93" s="1519"/>
      <c r="Y93" s="1513"/>
      <c r="Z93" s="1528"/>
    </row>
    <row r="94" spans="1:26" ht="17.100000000000001" customHeight="1">
      <c r="A94" s="298"/>
      <c r="B94" s="299" t="s">
        <v>1677</v>
      </c>
      <c r="C94" s="299"/>
      <c r="D94" s="299"/>
      <c r="E94" s="299"/>
      <c r="F94" s="299"/>
      <c r="G94" s="299"/>
      <c r="H94" s="299"/>
      <c r="I94" s="299"/>
      <c r="J94" s="1513">
        <f>480-30</f>
        <v>450</v>
      </c>
      <c r="K94" s="1513"/>
      <c r="L94" s="299" t="s">
        <v>1678</v>
      </c>
      <c r="M94" s="299"/>
      <c r="N94" s="299"/>
      <c r="O94" s="1519"/>
      <c r="P94" s="1513"/>
      <c r="Q94" s="1520"/>
      <c r="R94" s="1519"/>
      <c r="S94" s="1513"/>
      <c r="T94" s="1520"/>
      <c r="U94" s="1519"/>
      <c r="V94" s="1513"/>
      <c r="W94" s="1520"/>
      <c r="X94" s="1519"/>
      <c r="Y94" s="1513"/>
      <c r="Z94" s="1528"/>
    </row>
    <row r="95" spans="1:26" ht="17.100000000000001" customHeight="1">
      <c r="A95" s="298"/>
      <c r="B95" s="299" t="s">
        <v>1679</v>
      </c>
      <c r="C95" s="299"/>
      <c r="D95" s="299"/>
      <c r="E95" s="299"/>
      <c r="F95" s="299"/>
      <c r="G95" s="299"/>
      <c r="H95" s="299"/>
      <c r="I95" s="300" t="s">
        <v>1671</v>
      </c>
      <c r="J95" s="1513">
        <v>100</v>
      </c>
      <c r="K95" s="1513"/>
      <c r="L95" s="299" t="s">
        <v>1680</v>
      </c>
      <c r="M95" s="299"/>
      <c r="N95" s="299"/>
      <c r="O95" s="1519"/>
      <c r="P95" s="1513"/>
      <c r="Q95" s="1520"/>
      <c r="R95" s="1519"/>
      <c r="S95" s="1513"/>
      <c r="T95" s="1520"/>
      <c r="U95" s="1519"/>
      <c r="V95" s="1513"/>
      <c r="W95" s="1520"/>
      <c r="X95" s="1519"/>
      <c r="Y95" s="1513"/>
      <c r="Z95" s="1528"/>
    </row>
    <row r="96" spans="1:26" ht="17.100000000000001" customHeight="1">
      <c r="A96" s="298"/>
      <c r="B96" s="299" t="s">
        <v>1681</v>
      </c>
      <c r="C96" s="299"/>
      <c r="D96" s="299"/>
      <c r="E96" s="299"/>
      <c r="F96" s="299"/>
      <c r="G96" s="299"/>
      <c r="H96" s="299"/>
      <c r="I96" s="300" t="s">
        <v>1671</v>
      </c>
      <c r="J96" s="1513">
        <v>2</v>
      </c>
      <c r="K96" s="1513"/>
      <c r="L96" s="299" t="s">
        <v>1678</v>
      </c>
      <c r="M96" s="299"/>
      <c r="N96" s="299"/>
      <c r="O96" s="1519"/>
      <c r="P96" s="1513"/>
      <c r="Q96" s="1520"/>
      <c r="R96" s="1519"/>
      <c r="S96" s="1513"/>
      <c r="T96" s="1520"/>
      <c r="U96" s="1519"/>
      <c r="V96" s="1513"/>
      <c r="W96" s="1520"/>
      <c r="X96" s="1519"/>
      <c r="Y96" s="1513"/>
      <c r="Z96" s="1528"/>
    </row>
    <row r="97" spans="1:26" ht="17.100000000000001" customHeight="1">
      <c r="A97" s="298"/>
      <c r="B97" s="299" t="s">
        <v>1682</v>
      </c>
      <c r="C97" s="299"/>
      <c r="D97" s="299"/>
      <c r="E97" s="299"/>
      <c r="F97" s="299"/>
      <c r="G97" s="299"/>
      <c r="H97" s="299"/>
      <c r="I97" s="300" t="s">
        <v>1671</v>
      </c>
      <c r="J97" s="1513">
        <v>10</v>
      </c>
      <c r="K97" s="1513"/>
      <c r="L97" s="299" t="s">
        <v>1697</v>
      </c>
      <c r="M97" s="299"/>
      <c r="N97" s="299"/>
      <c r="O97" s="1519"/>
      <c r="P97" s="1513"/>
      <c r="Q97" s="1520"/>
      <c r="R97" s="1519"/>
      <c r="S97" s="1513"/>
      <c r="T97" s="1520"/>
      <c r="U97" s="1519"/>
      <c r="V97" s="1513"/>
      <c r="W97" s="1520"/>
      <c r="X97" s="1519"/>
      <c r="Y97" s="1513"/>
      <c r="Z97" s="1528"/>
    </row>
    <row r="98" spans="1:26" ht="17.100000000000001" customHeight="1">
      <c r="A98" s="301" t="s">
        <v>1673</v>
      </c>
      <c r="B98" s="299" t="s">
        <v>1684</v>
      </c>
      <c r="C98" s="299"/>
      <c r="D98" s="299"/>
      <c r="E98" s="299"/>
      <c r="F98" s="299"/>
      <c r="G98" s="299"/>
      <c r="H98" s="299"/>
      <c r="I98" s="299"/>
      <c r="J98" s="1518">
        <f>ROUND(J93*J94/(120*J95+J93*J96),3)</f>
        <v>56.25</v>
      </c>
      <c r="K98" s="1518"/>
      <c r="L98" s="299" t="s">
        <v>1685</v>
      </c>
      <c r="M98" s="299"/>
      <c r="N98" s="299"/>
      <c r="O98" s="1519"/>
      <c r="P98" s="1513"/>
      <c r="Q98" s="1520"/>
      <c r="R98" s="1519"/>
      <c r="S98" s="1513"/>
      <c r="T98" s="1520"/>
      <c r="U98" s="1519"/>
      <c r="V98" s="1513"/>
      <c r="W98" s="1520"/>
      <c r="X98" s="1519"/>
      <c r="Y98" s="1513"/>
      <c r="Z98" s="1528"/>
    </row>
    <row r="99" spans="1:26" ht="17.100000000000001" customHeight="1">
      <c r="A99" s="301" t="s">
        <v>1673</v>
      </c>
      <c r="B99" s="299" t="s">
        <v>1686</v>
      </c>
      <c r="C99" s="299"/>
      <c r="D99" s="299"/>
      <c r="E99" s="299"/>
      <c r="F99" s="299"/>
      <c r="G99" s="299"/>
      <c r="H99" s="299"/>
      <c r="I99" s="300" t="s">
        <v>1671</v>
      </c>
      <c r="J99" s="1513">
        <f>J98*J97</f>
        <v>562.5</v>
      </c>
      <c r="K99" s="1513"/>
      <c r="L99" s="299" t="s">
        <v>1687</v>
      </c>
      <c r="M99" s="299"/>
      <c r="N99" s="299"/>
      <c r="O99" s="1519"/>
      <c r="P99" s="1513"/>
      <c r="Q99" s="1520"/>
      <c r="R99" s="1519"/>
      <c r="S99" s="1513"/>
      <c r="T99" s="1520"/>
      <c r="U99" s="1519"/>
      <c r="V99" s="1513"/>
      <c r="W99" s="1520"/>
      <c r="X99" s="1519"/>
      <c r="Y99" s="1513"/>
      <c r="Z99" s="1528"/>
    </row>
    <row r="100" spans="1:26" ht="17.100000000000001" customHeight="1">
      <c r="A100" s="301" t="s">
        <v>1673</v>
      </c>
      <c r="B100" s="299" t="s">
        <v>1688</v>
      </c>
      <c r="C100" s="299"/>
      <c r="D100" s="300"/>
      <c r="E100" s="299" t="s">
        <v>1689</v>
      </c>
      <c r="F100" s="299"/>
      <c r="G100" s="299"/>
      <c r="H100" s="299"/>
      <c r="I100" s="299" t="s">
        <v>1690</v>
      </c>
      <c r="J100" s="1522">
        <f ca="1">'11.0시중노임'!F6</f>
        <v>68965</v>
      </c>
      <c r="K100" s="1522"/>
      <c r="L100" s="1522"/>
      <c r="M100" s="303"/>
      <c r="N100" s="299"/>
      <c r="O100" s="1519"/>
      <c r="P100" s="1513"/>
      <c r="Q100" s="1520"/>
      <c r="R100" s="1519"/>
      <c r="S100" s="1513"/>
      <c r="T100" s="1520"/>
      <c r="U100" s="1519"/>
      <c r="V100" s="1513"/>
      <c r="W100" s="1520"/>
      <c r="X100" s="1519"/>
      <c r="Y100" s="1513"/>
      <c r="Z100" s="1528"/>
    </row>
    <row r="101" spans="1:26" ht="17.100000000000001" customHeight="1">
      <c r="A101" s="298"/>
      <c r="B101" s="299"/>
      <c r="C101" s="299"/>
      <c r="D101" s="300"/>
      <c r="E101" s="299"/>
      <c r="F101" s="299"/>
      <c r="G101" s="299"/>
      <c r="H101" s="299"/>
      <c r="I101" s="300" t="s">
        <v>1671</v>
      </c>
      <c r="J101" s="1516">
        <f>ROUND(1/J99*A89*1.1*J100,1)</f>
        <v>1483.5</v>
      </c>
      <c r="K101" s="1516"/>
      <c r="L101" s="1516"/>
      <c r="M101" s="299"/>
      <c r="N101" s="299"/>
      <c r="O101" s="1519"/>
      <c r="P101" s="1513"/>
      <c r="Q101" s="1520"/>
      <c r="R101" s="1519">
        <f>J101</f>
        <v>1483.5</v>
      </c>
      <c r="S101" s="1513"/>
      <c r="T101" s="1520"/>
      <c r="U101" s="1519"/>
      <c r="V101" s="1513"/>
      <c r="W101" s="1520"/>
      <c r="X101" s="1519">
        <f>SUM(O101:W101)</f>
        <v>1483.5</v>
      </c>
      <c r="Y101" s="1513"/>
      <c r="Z101" s="1528"/>
    </row>
    <row r="102" spans="1:26" ht="17.100000000000001" customHeight="1">
      <c r="A102" s="298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1519"/>
      <c r="P102" s="1513"/>
      <c r="Q102" s="1520"/>
      <c r="R102" s="1519"/>
      <c r="S102" s="1513"/>
      <c r="T102" s="1520"/>
      <c r="U102" s="1519"/>
      <c r="V102" s="1513"/>
      <c r="W102" s="1520"/>
      <c r="X102" s="1519"/>
      <c r="Y102" s="1513"/>
      <c r="Z102" s="1528"/>
    </row>
    <row r="103" spans="1:26" ht="17.100000000000001" customHeight="1">
      <c r="A103" s="298" t="s">
        <v>1691</v>
      </c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1519"/>
      <c r="P103" s="1513"/>
      <c r="Q103" s="1520"/>
      <c r="R103" s="1519"/>
      <c r="S103" s="1513"/>
      <c r="T103" s="1520"/>
      <c r="U103" s="1519"/>
      <c r="V103" s="1513"/>
      <c r="W103" s="1520"/>
      <c r="X103" s="1519"/>
      <c r="Y103" s="1513"/>
      <c r="Z103" s="1528"/>
    </row>
    <row r="104" spans="1:26" ht="17.100000000000001" customHeight="1">
      <c r="A104" s="301" t="s">
        <v>1673</v>
      </c>
      <c r="B104" s="299" t="s">
        <v>1688</v>
      </c>
      <c r="C104" s="299"/>
      <c r="D104" s="299"/>
      <c r="E104" s="299" t="s">
        <v>1698</v>
      </c>
      <c r="F104" s="299"/>
      <c r="G104" s="299"/>
      <c r="H104" s="299"/>
      <c r="I104" s="1522">
        <f ca="1">'11.0시중노임'!F6</f>
        <v>68965</v>
      </c>
      <c r="J104" s="1522"/>
      <c r="K104" s="1522"/>
      <c r="L104" s="299"/>
      <c r="M104" s="299"/>
      <c r="N104" s="299"/>
      <c r="O104" s="1519"/>
      <c r="P104" s="1513"/>
      <c r="Q104" s="1520"/>
      <c r="R104" s="1519"/>
      <c r="S104" s="1513"/>
      <c r="T104" s="1520"/>
      <c r="U104" s="1519"/>
      <c r="V104" s="1513"/>
      <c r="W104" s="1520"/>
      <c r="X104" s="1519"/>
      <c r="Y104" s="1513"/>
      <c r="Z104" s="1528"/>
    </row>
    <row r="105" spans="1:26" ht="17.100000000000001" customHeight="1">
      <c r="A105" s="298"/>
      <c r="B105" s="299"/>
      <c r="C105" s="299"/>
      <c r="D105" s="299"/>
      <c r="E105" s="299"/>
      <c r="F105" s="299"/>
      <c r="G105" s="299"/>
      <c r="H105" s="299"/>
      <c r="I105" s="300" t="s">
        <v>1671</v>
      </c>
      <c r="J105" s="1521">
        <f>ROUND((6/100)*I104,1)</f>
        <v>4137.8999999999996</v>
      </c>
      <c r="K105" s="1521"/>
      <c r="L105" s="1521"/>
      <c r="M105" s="299"/>
      <c r="N105" s="299"/>
      <c r="O105" s="1519"/>
      <c r="P105" s="1513"/>
      <c r="Q105" s="1520"/>
      <c r="R105" s="1525">
        <f>J105</f>
        <v>4137.8999999999996</v>
      </c>
      <c r="S105" s="1526"/>
      <c r="T105" s="1527"/>
      <c r="U105" s="1519"/>
      <c r="V105" s="1513"/>
      <c r="W105" s="1520"/>
      <c r="X105" s="1519">
        <f>SUM(O105:W105)</f>
        <v>4137.8999999999996</v>
      </c>
      <c r="Y105" s="1513"/>
      <c r="Z105" s="1528"/>
    </row>
    <row r="106" spans="1:26" ht="17.100000000000001" customHeight="1">
      <c r="A106" s="298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1519"/>
      <c r="P106" s="1513"/>
      <c r="Q106" s="1520"/>
      <c r="R106" s="1519"/>
      <c r="S106" s="1513"/>
      <c r="T106" s="1520"/>
      <c r="U106" s="1519"/>
      <c r="V106" s="1513"/>
      <c r="W106" s="1520"/>
      <c r="X106" s="1519"/>
      <c r="Y106" s="1513"/>
      <c r="Z106" s="1528"/>
    </row>
    <row r="107" spans="1:26" ht="17.100000000000001" customHeight="1">
      <c r="A107" s="298" t="s">
        <v>1699</v>
      </c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1519"/>
      <c r="P107" s="1513"/>
      <c r="Q107" s="1520"/>
      <c r="R107" s="1519"/>
      <c r="S107" s="1513"/>
      <c r="T107" s="1520"/>
      <c r="U107" s="1519"/>
      <c r="V107" s="1513"/>
      <c r="W107" s="1520"/>
      <c r="X107" s="1519"/>
      <c r="Y107" s="1513"/>
      <c r="Z107" s="1528"/>
    </row>
    <row r="108" spans="1:26" ht="17.100000000000001" customHeight="1">
      <c r="A108" s="301" t="s">
        <v>1673</v>
      </c>
      <c r="B108" s="299" t="s">
        <v>1688</v>
      </c>
      <c r="C108" s="299"/>
      <c r="D108" s="299"/>
      <c r="E108" s="299" t="s">
        <v>1700</v>
      </c>
      <c r="F108" s="299"/>
      <c r="G108" s="299"/>
      <c r="H108" s="299"/>
      <c r="I108" s="299"/>
      <c r="J108" s="1522">
        <f ca="1">'11.0시중노임'!F6</f>
        <v>68965</v>
      </c>
      <c r="K108" s="1522"/>
      <c r="L108" s="1522"/>
      <c r="M108" s="299"/>
      <c r="N108" s="299"/>
      <c r="O108" s="1519"/>
      <c r="P108" s="1513"/>
      <c r="Q108" s="1520"/>
      <c r="R108" s="1519"/>
      <c r="S108" s="1513"/>
      <c r="T108" s="1520"/>
      <c r="U108" s="1519"/>
      <c r="V108" s="1513"/>
      <c r="W108" s="1520"/>
      <c r="X108" s="1519"/>
      <c r="Y108" s="1513"/>
      <c r="Z108" s="1528"/>
    </row>
    <row r="109" spans="1:26" ht="17.100000000000001" customHeight="1">
      <c r="A109" s="298"/>
      <c r="B109" s="299"/>
      <c r="C109" s="299"/>
      <c r="D109" s="299"/>
      <c r="E109" s="299"/>
      <c r="F109" s="299"/>
      <c r="G109" s="299"/>
      <c r="H109" s="299"/>
      <c r="I109" s="300" t="s">
        <v>1671</v>
      </c>
      <c r="J109" s="1521">
        <f>ROUND((22/1000)*J108,1)</f>
        <v>1517.2</v>
      </c>
      <c r="K109" s="1521"/>
      <c r="L109" s="1521"/>
      <c r="M109" s="299"/>
      <c r="N109" s="299"/>
      <c r="O109" s="1519"/>
      <c r="P109" s="1513"/>
      <c r="Q109" s="1520"/>
      <c r="R109" s="1525">
        <f>J109</f>
        <v>1517.2</v>
      </c>
      <c r="S109" s="1526"/>
      <c r="T109" s="1527"/>
      <c r="U109" s="1519"/>
      <c r="V109" s="1513"/>
      <c r="W109" s="1520"/>
      <c r="X109" s="1519">
        <f>SUM(O109:W109)</f>
        <v>1517.2</v>
      </c>
      <c r="Y109" s="1513"/>
      <c r="Z109" s="1528"/>
    </row>
    <row r="110" spans="1:26" ht="17.100000000000001" customHeight="1">
      <c r="A110" s="298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1519"/>
      <c r="P110" s="1513"/>
      <c r="Q110" s="1520"/>
      <c r="R110" s="1519"/>
      <c r="S110" s="1513"/>
      <c r="T110" s="1520"/>
      <c r="U110" s="1519"/>
      <c r="V110" s="1513"/>
      <c r="W110" s="1520"/>
      <c r="X110" s="1519"/>
      <c r="Y110" s="1513"/>
      <c r="Z110" s="1528"/>
    </row>
    <row r="111" spans="1:26" ht="17.100000000000001" customHeight="1">
      <c r="A111" s="298" t="s">
        <v>1693</v>
      </c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1519"/>
      <c r="P111" s="1513"/>
      <c r="Q111" s="1520"/>
      <c r="R111" s="1519"/>
      <c r="S111" s="1513"/>
      <c r="T111" s="1520"/>
      <c r="U111" s="1519"/>
      <c r="V111" s="1513"/>
      <c r="W111" s="1520"/>
      <c r="X111" s="1519"/>
      <c r="Y111" s="1513"/>
      <c r="Z111" s="1528"/>
    </row>
    <row r="112" spans="1:26" ht="17.100000000000001" customHeight="1">
      <c r="A112" s="301" t="s">
        <v>1673</v>
      </c>
      <c r="B112" s="299" t="s">
        <v>1688</v>
      </c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1519"/>
      <c r="P112" s="1513"/>
      <c r="Q112" s="1520"/>
      <c r="R112" s="1519"/>
      <c r="S112" s="1513"/>
      <c r="T112" s="1520"/>
      <c r="U112" s="1519"/>
      <c r="V112" s="1513"/>
      <c r="W112" s="1520"/>
      <c r="X112" s="1519"/>
      <c r="Y112" s="1513"/>
      <c r="Z112" s="1528"/>
    </row>
    <row r="113" spans="1:26" ht="17.100000000000001" customHeight="1">
      <c r="A113" s="299" t="s">
        <v>1694</v>
      </c>
      <c r="B113" s="299"/>
      <c r="C113" s="299"/>
      <c r="D113" s="299"/>
      <c r="E113" s="299"/>
      <c r="F113" s="299"/>
      <c r="G113" s="299"/>
      <c r="H113" s="299"/>
      <c r="I113" s="300"/>
      <c r="J113" s="299"/>
      <c r="K113" s="299"/>
      <c r="L113" s="299"/>
      <c r="M113" s="1522">
        <f ca="1">'11.0시중노임'!F6</f>
        <v>68965</v>
      </c>
      <c r="N113" s="1523"/>
      <c r="O113" s="1519"/>
      <c r="P113" s="1513"/>
      <c r="Q113" s="1520"/>
      <c r="R113" s="1519"/>
      <c r="S113" s="1513"/>
      <c r="T113" s="1520"/>
      <c r="U113" s="1519"/>
      <c r="V113" s="1513"/>
      <c r="W113" s="1520"/>
      <c r="X113" s="1519"/>
      <c r="Y113" s="1513"/>
      <c r="Z113" s="1528"/>
    </row>
    <row r="114" spans="1:26" ht="17.100000000000001" customHeight="1">
      <c r="A114" s="298"/>
      <c r="B114" s="299"/>
      <c r="C114" s="299"/>
      <c r="D114" s="299"/>
      <c r="E114" s="299"/>
      <c r="F114" s="299"/>
      <c r="G114" s="299"/>
      <c r="H114" s="299"/>
      <c r="I114" s="300" t="s">
        <v>1671</v>
      </c>
      <c r="J114" s="1521">
        <f>ROUND((((0.24+0.19)/2/10)+(7.6/100))/((25+50)/2)*M113,1)</f>
        <v>179.3</v>
      </c>
      <c r="K114" s="1521"/>
      <c r="L114" s="1521"/>
      <c r="M114" s="299"/>
      <c r="N114" s="299"/>
      <c r="O114" s="1519"/>
      <c r="P114" s="1513"/>
      <c r="Q114" s="1520"/>
      <c r="R114" s="1525">
        <f>J114</f>
        <v>179.3</v>
      </c>
      <c r="S114" s="1526"/>
      <c r="T114" s="1527"/>
      <c r="U114" s="1519"/>
      <c r="V114" s="1513"/>
      <c r="W114" s="1520"/>
      <c r="X114" s="1519">
        <f>SUM(O114:W114)</f>
        <v>179.3</v>
      </c>
      <c r="Y114" s="1513"/>
      <c r="Z114" s="1528"/>
    </row>
    <row r="115" spans="1:26" ht="17.100000000000001" customHeight="1">
      <c r="A115" s="298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1519"/>
      <c r="P115" s="1513"/>
      <c r="Q115" s="1520"/>
      <c r="R115" s="1519"/>
      <c r="S115" s="1513"/>
      <c r="T115" s="1520"/>
      <c r="U115" s="1519"/>
      <c r="V115" s="1513"/>
      <c r="W115" s="1520"/>
      <c r="X115" s="1519"/>
      <c r="Y115" s="1513"/>
      <c r="Z115" s="1528"/>
    </row>
    <row r="116" spans="1:26" ht="17.100000000000001" customHeight="1">
      <c r="A116" s="298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1519"/>
      <c r="P116" s="1513"/>
      <c r="Q116" s="1520"/>
      <c r="R116" s="1519"/>
      <c r="S116" s="1513"/>
      <c r="T116" s="1520"/>
      <c r="U116" s="1519"/>
      <c r="V116" s="1513"/>
      <c r="W116" s="1520"/>
      <c r="X116" s="1519"/>
      <c r="Y116" s="1513"/>
      <c r="Z116" s="1528"/>
    </row>
    <row r="117" spans="1:26" ht="17.100000000000001" customHeight="1">
      <c r="A117" s="298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1519"/>
      <c r="P117" s="1513"/>
      <c r="Q117" s="1520"/>
      <c r="R117" s="1519"/>
      <c r="S117" s="1513"/>
      <c r="T117" s="1520"/>
      <c r="U117" s="1519"/>
      <c r="V117" s="1513"/>
      <c r="W117" s="1520"/>
      <c r="X117" s="1519"/>
      <c r="Y117" s="1513"/>
      <c r="Z117" s="1528"/>
    </row>
    <row r="118" spans="1:26" ht="17.100000000000001" customHeight="1">
      <c r="A118" s="298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1519"/>
      <c r="P118" s="1513"/>
      <c r="Q118" s="1520"/>
      <c r="R118" s="1519"/>
      <c r="S118" s="1513"/>
      <c r="T118" s="1520"/>
      <c r="U118" s="1519"/>
      <c r="V118" s="1513"/>
      <c r="W118" s="1520"/>
      <c r="X118" s="1519"/>
      <c r="Y118" s="1513"/>
      <c r="Z118" s="1528"/>
    </row>
    <row r="119" spans="1:26" ht="17.100000000000001" customHeight="1">
      <c r="A119" s="298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1519"/>
      <c r="P119" s="1513"/>
      <c r="Q119" s="1520"/>
      <c r="R119" s="1519"/>
      <c r="S119" s="1513"/>
      <c r="T119" s="1520"/>
      <c r="U119" s="1519"/>
      <c r="V119" s="1513"/>
      <c r="W119" s="1520"/>
      <c r="X119" s="1519"/>
      <c r="Y119" s="1513"/>
      <c r="Z119" s="1528"/>
    </row>
    <row r="120" spans="1:26" ht="17.100000000000001" customHeight="1">
      <c r="A120" s="298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1519"/>
      <c r="P120" s="1513"/>
      <c r="Q120" s="1520"/>
      <c r="R120" s="1519"/>
      <c r="S120" s="1513"/>
      <c r="T120" s="1520"/>
      <c r="U120" s="1519"/>
      <c r="V120" s="1513"/>
      <c r="W120" s="1520"/>
      <c r="X120" s="1519"/>
      <c r="Y120" s="1513"/>
      <c r="Z120" s="1528"/>
    </row>
    <row r="121" spans="1:26" ht="17.100000000000001" customHeight="1">
      <c r="A121" s="298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1519"/>
      <c r="P121" s="1513"/>
      <c r="Q121" s="1520"/>
      <c r="R121" s="1519"/>
      <c r="S121" s="1513"/>
      <c r="T121" s="1520"/>
      <c r="U121" s="1519"/>
      <c r="V121" s="1513"/>
      <c r="W121" s="1520"/>
      <c r="X121" s="1519"/>
      <c r="Y121" s="1513"/>
      <c r="Z121" s="1528"/>
    </row>
    <row r="122" spans="1:26" ht="17.100000000000001" customHeight="1">
      <c r="A122" s="298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1529"/>
      <c r="P122" s="1530"/>
      <c r="Q122" s="1531"/>
      <c r="R122" s="1529"/>
      <c r="S122" s="1530"/>
      <c r="T122" s="1531"/>
      <c r="U122" s="1529"/>
      <c r="V122" s="1530"/>
      <c r="W122" s="1531"/>
      <c r="X122" s="1529"/>
      <c r="Y122" s="1530"/>
      <c r="Z122" s="1532"/>
    </row>
    <row r="123" spans="1:26" ht="17.100000000000001" customHeight="1">
      <c r="A123" s="304"/>
      <c r="B123" s="305" t="s">
        <v>1695</v>
      </c>
      <c r="C123" s="305"/>
      <c r="D123" s="305"/>
      <c r="E123" s="305"/>
      <c r="F123" s="305"/>
      <c r="G123" s="305"/>
      <c r="H123" s="305"/>
      <c r="I123" s="305"/>
      <c r="J123" s="305"/>
      <c r="K123" s="305"/>
      <c r="L123" s="305"/>
      <c r="M123" s="305"/>
      <c r="N123" s="305"/>
      <c r="O123" s="1533">
        <f>INT(SUM(O87:Q122))</f>
        <v>2662</v>
      </c>
      <c r="P123" s="1534"/>
      <c r="Q123" s="1535"/>
      <c r="R123" s="1533">
        <f>INT(SUM(R87:T122))</f>
        <v>7317</v>
      </c>
      <c r="S123" s="1534"/>
      <c r="T123" s="1535"/>
      <c r="U123" s="1533">
        <f>SUM(U87:W122)</f>
        <v>0</v>
      </c>
      <c r="V123" s="1534"/>
      <c r="W123" s="1535"/>
      <c r="X123" s="1533">
        <f>INT(SUM(X87:Z122))</f>
        <v>9979</v>
      </c>
      <c r="Y123" s="1534"/>
      <c r="Z123" s="1536"/>
    </row>
  </sheetData>
  <mergeCells count="374">
    <mergeCell ref="K24:L24"/>
    <mergeCell ref="R44:T44"/>
    <mergeCell ref="O44:Q44"/>
    <mergeCell ref="M24:O24"/>
    <mergeCell ref="C20:H20"/>
    <mergeCell ref="D22:E22"/>
    <mergeCell ref="F22:G22"/>
    <mergeCell ref="I22:J22"/>
    <mergeCell ref="F23:G23"/>
    <mergeCell ref="I23:J23"/>
    <mergeCell ref="P22:R22"/>
    <mergeCell ref="P23:R23"/>
    <mergeCell ref="K23:L23"/>
    <mergeCell ref="M23:O23"/>
    <mergeCell ref="K22:L22"/>
    <mergeCell ref="M22:O22"/>
    <mergeCell ref="P24:R24"/>
    <mergeCell ref="O45:Q45"/>
    <mergeCell ref="R45:T45"/>
    <mergeCell ref="X60:Z60"/>
    <mergeCell ref="X59:Z59"/>
    <mergeCell ref="U59:W59"/>
    <mergeCell ref="O57:Q57"/>
    <mergeCell ref="O58:Q58"/>
    <mergeCell ref="U58:W58"/>
    <mergeCell ref="X58:Z58"/>
    <mergeCell ref="O46:Q46"/>
    <mergeCell ref="R46:T46"/>
    <mergeCell ref="X44:Z44"/>
    <mergeCell ref="U44:W44"/>
    <mergeCell ref="X45:Z45"/>
    <mergeCell ref="U45:W45"/>
    <mergeCell ref="U46:W46"/>
    <mergeCell ref="X46:Z46"/>
    <mergeCell ref="X50:Z50"/>
    <mergeCell ref="X48:Z48"/>
    <mergeCell ref="X47:Z47"/>
    <mergeCell ref="U47:W47"/>
    <mergeCell ref="X49:Z49"/>
    <mergeCell ref="O48:Q48"/>
    <mergeCell ref="O53:Q53"/>
    <mergeCell ref="U91:W91"/>
    <mergeCell ref="U94:W94"/>
    <mergeCell ref="R93:T93"/>
    <mergeCell ref="U93:W93"/>
    <mergeCell ref="U92:W92"/>
    <mergeCell ref="U50:W50"/>
    <mergeCell ref="R60:T60"/>
    <mergeCell ref="R72:T72"/>
    <mergeCell ref="O71:Q71"/>
    <mergeCell ref="O83:Q83"/>
    <mergeCell ref="F25:G25"/>
    <mergeCell ref="F24:G24"/>
    <mergeCell ref="I24:J24"/>
    <mergeCell ref="O64:Q64"/>
    <mergeCell ref="O49:Q49"/>
    <mergeCell ref="O47:Q47"/>
    <mergeCell ref="O50:Q50"/>
    <mergeCell ref="O68:Q68"/>
    <mergeCell ref="R57:T57"/>
    <mergeCell ref="R58:T58"/>
    <mergeCell ref="O67:Q67"/>
    <mergeCell ref="O69:Q69"/>
    <mergeCell ref="R61:T61"/>
    <mergeCell ref="O61:Q61"/>
    <mergeCell ref="X96:Z96"/>
    <mergeCell ref="X95:Z95"/>
    <mergeCell ref="X63:Z63"/>
    <mergeCell ref="O62:Q62"/>
    <mergeCell ref="R62:T62"/>
    <mergeCell ref="U62:W62"/>
    <mergeCell ref="X62:Z62"/>
    <mergeCell ref="O65:Q65"/>
    <mergeCell ref="R73:T73"/>
    <mergeCell ref="R68:T68"/>
    <mergeCell ref="R69:T69"/>
    <mergeCell ref="U70:W70"/>
    <mergeCell ref="U69:W69"/>
    <mergeCell ref="X69:Z69"/>
    <mergeCell ref="R47:T47"/>
    <mergeCell ref="R65:T65"/>
    <mergeCell ref="X61:Z61"/>
    <mergeCell ref="O95:Q95"/>
    <mergeCell ref="R95:T95"/>
    <mergeCell ref="U95:W95"/>
    <mergeCell ref="O63:Q63"/>
    <mergeCell ref="R63:T63"/>
    <mergeCell ref="U63:W63"/>
    <mergeCell ref="O86:Q86"/>
    <mergeCell ref="O87:Q87"/>
    <mergeCell ref="R84:T84"/>
    <mergeCell ref="U83:W83"/>
    <mergeCell ref="X91:Z91"/>
    <mergeCell ref="X87:Z87"/>
    <mergeCell ref="X77:Z77"/>
    <mergeCell ref="X78:Z78"/>
    <mergeCell ref="X86:Z86"/>
    <mergeCell ref="X88:Z88"/>
    <mergeCell ref="U77:W77"/>
    <mergeCell ref="X79:Z79"/>
    <mergeCell ref="U88:W88"/>
    <mergeCell ref="X73:Z73"/>
    <mergeCell ref="U85:W85"/>
    <mergeCell ref="X85:Z85"/>
    <mergeCell ref="X83:Z83"/>
    <mergeCell ref="X82:Z82"/>
    <mergeCell ref="X84:Z84"/>
    <mergeCell ref="X74:Z74"/>
    <mergeCell ref="X81:Z81"/>
    <mergeCell ref="X75:Z75"/>
    <mergeCell ref="X76:Z76"/>
    <mergeCell ref="U90:W90"/>
    <mergeCell ref="R87:T87"/>
    <mergeCell ref="U87:W87"/>
    <mergeCell ref="U73:W73"/>
    <mergeCell ref="O90:Q90"/>
    <mergeCell ref="U84:W84"/>
    <mergeCell ref="U81:W81"/>
    <mergeCell ref="U78:W78"/>
    <mergeCell ref="R83:T83"/>
    <mergeCell ref="R80:T80"/>
    <mergeCell ref="X64:Z64"/>
    <mergeCell ref="R67:T67"/>
    <mergeCell ref="U67:W67"/>
    <mergeCell ref="X65:Z65"/>
    <mergeCell ref="U65:W65"/>
    <mergeCell ref="R66:T66"/>
    <mergeCell ref="R64:T64"/>
    <mergeCell ref="X67:Z67"/>
    <mergeCell ref="X71:Z71"/>
    <mergeCell ref="X72:Z72"/>
    <mergeCell ref="X70:Z70"/>
    <mergeCell ref="U66:W66"/>
    <mergeCell ref="U68:W68"/>
    <mergeCell ref="X66:Z66"/>
    <mergeCell ref="U71:W71"/>
    <mergeCell ref="U72:W72"/>
    <mergeCell ref="X68:Z68"/>
    <mergeCell ref="R52:T52"/>
    <mergeCell ref="U52:W52"/>
    <mergeCell ref="R48:T48"/>
    <mergeCell ref="U48:W48"/>
    <mergeCell ref="R50:T50"/>
    <mergeCell ref="R49:T49"/>
    <mergeCell ref="U49:W49"/>
    <mergeCell ref="X56:Z56"/>
    <mergeCell ref="U56:W56"/>
    <mergeCell ref="X54:Z54"/>
    <mergeCell ref="R51:T51"/>
    <mergeCell ref="X57:Z57"/>
    <mergeCell ref="R55:T55"/>
    <mergeCell ref="U55:W55"/>
    <mergeCell ref="X55:Z55"/>
    <mergeCell ref="R53:T53"/>
    <mergeCell ref="U53:W53"/>
    <mergeCell ref="O51:Q51"/>
    <mergeCell ref="O54:Q54"/>
    <mergeCell ref="O55:Q55"/>
    <mergeCell ref="X51:Z51"/>
    <mergeCell ref="R54:T54"/>
    <mergeCell ref="U54:W54"/>
    <mergeCell ref="X52:Z52"/>
    <mergeCell ref="U51:W51"/>
    <mergeCell ref="X53:Z53"/>
    <mergeCell ref="O52:Q52"/>
    <mergeCell ref="O56:Q56"/>
    <mergeCell ref="R56:T56"/>
    <mergeCell ref="U60:W60"/>
    <mergeCell ref="O59:Q59"/>
    <mergeCell ref="U57:W57"/>
    <mergeCell ref="R71:T71"/>
    <mergeCell ref="O60:Q60"/>
    <mergeCell ref="R59:T59"/>
    <mergeCell ref="U61:W61"/>
    <mergeCell ref="R70:T70"/>
    <mergeCell ref="O73:Q73"/>
    <mergeCell ref="O76:Q76"/>
    <mergeCell ref="U74:W74"/>
    <mergeCell ref="O72:Q72"/>
    <mergeCell ref="O74:Q74"/>
    <mergeCell ref="R75:T75"/>
    <mergeCell ref="U75:W75"/>
    <mergeCell ref="R76:T76"/>
    <mergeCell ref="R74:T74"/>
    <mergeCell ref="U76:W76"/>
    <mergeCell ref="O70:Q70"/>
    <mergeCell ref="O66:Q66"/>
    <mergeCell ref="U64:W64"/>
    <mergeCell ref="U82:W82"/>
    <mergeCell ref="R79:T79"/>
    <mergeCell ref="O82:Q82"/>
    <mergeCell ref="O81:Q81"/>
    <mergeCell ref="R78:T78"/>
    <mergeCell ref="R81:T81"/>
    <mergeCell ref="R82:T82"/>
    <mergeCell ref="O78:Q78"/>
    <mergeCell ref="U97:W97"/>
    <mergeCell ref="U79:W79"/>
    <mergeCell ref="O77:Q77"/>
    <mergeCell ref="O80:Q80"/>
    <mergeCell ref="O85:Q85"/>
    <mergeCell ref="U80:W80"/>
    <mergeCell ref="O91:Q91"/>
    <mergeCell ref="R85:T85"/>
    <mergeCell ref="R86:T86"/>
    <mergeCell ref="X89:Z89"/>
    <mergeCell ref="X92:Z92"/>
    <mergeCell ref="X80:Z80"/>
    <mergeCell ref="X97:Z97"/>
    <mergeCell ref="X98:Z98"/>
    <mergeCell ref="R77:T77"/>
    <mergeCell ref="U86:W86"/>
    <mergeCell ref="R90:T90"/>
    <mergeCell ref="R88:T88"/>
    <mergeCell ref="R91:T91"/>
    <mergeCell ref="O79:Q79"/>
    <mergeCell ref="O103:Q103"/>
    <mergeCell ref="R103:T103"/>
    <mergeCell ref="J97:K97"/>
    <mergeCell ref="O97:Q97"/>
    <mergeCell ref="O101:Q101"/>
    <mergeCell ref="R101:T101"/>
    <mergeCell ref="O102:Q102"/>
    <mergeCell ref="R102:T102"/>
    <mergeCell ref="R100:T100"/>
    <mergeCell ref="O96:Q96"/>
    <mergeCell ref="R96:T96"/>
    <mergeCell ref="U96:W96"/>
    <mergeCell ref="J99:K99"/>
    <mergeCell ref="J100:L100"/>
    <mergeCell ref="J101:L101"/>
    <mergeCell ref="R97:T97"/>
    <mergeCell ref="X100:Z100"/>
    <mergeCell ref="O99:Q99"/>
    <mergeCell ref="R99:T99"/>
    <mergeCell ref="U99:W99"/>
    <mergeCell ref="X99:Z99"/>
    <mergeCell ref="O100:Q100"/>
    <mergeCell ref="X90:Z90"/>
    <mergeCell ref="O88:Q88"/>
    <mergeCell ref="O92:Q92"/>
    <mergeCell ref="O94:Q94"/>
    <mergeCell ref="O93:Q93"/>
    <mergeCell ref="O89:Q89"/>
    <mergeCell ref="X94:Z94"/>
    <mergeCell ref="R92:T92"/>
    <mergeCell ref="R89:T89"/>
    <mergeCell ref="X93:Z93"/>
    <mergeCell ref="U106:W106"/>
    <mergeCell ref="U107:W107"/>
    <mergeCell ref="R110:T110"/>
    <mergeCell ref="U113:W113"/>
    <mergeCell ref="U119:W119"/>
    <mergeCell ref="U89:W89"/>
    <mergeCell ref="R94:T94"/>
    <mergeCell ref="U98:W98"/>
    <mergeCell ref="U100:W100"/>
    <mergeCell ref="R98:T98"/>
    <mergeCell ref="X106:Z106"/>
    <mergeCell ref="X105:Z105"/>
    <mergeCell ref="X104:Z104"/>
    <mergeCell ref="U101:W101"/>
    <mergeCell ref="U102:W102"/>
    <mergeCell ref="U104:W104"/>
    <mergeCell ref="X101:Z101"/>
    <mergeCell ref="X103:Z103"/>
    <mergeCell ref="U103:W103"/>
    <mergeCell ref="X102:Z102"/>
    <mergeCell ref="X112:Z112"/>
    <mergeCell ref="X115:Z115"/>
    <mergeCell ref="X114:Z114"/>
    <mergeCell ref="O123:Q123"/>
    <mergeCell ref="R123:T123"/>
    <mergeCell ref="U123:W123"/>
    <mergeCell ref="X123:Z123"/>
    <mergeCell ref="R120:T120"/>
    <mergeCell ref="U120:W120"/>
    <mergeCell ref="U122:W122"/>
    <mergeCell ref="X122:Z122"/>
    <mergeCell ref="X119:Z119"/>
    <mergeCell ref="X118:Z118"/>
    <mergeCell ref="X121:Z121"/>
    <mergeCell ref="X120:Z120"/>
    <mergeCell ref="O121:Q121"/>
    <mergeCell ref="R121:T121"/>
    <mergeCell ref="O119:Q119"/>
    <mergeCell ref="R119:T119"/>
    <mergeCell ref="O120:Q120"/>
    <mergeCell ref="O122:Q122"/>
    <mergeCell ref="R122:T122"/>
    <mergeCell ref="O114:Q114"/>
    <mergeCell ref="R114:T114"/>
    <mergeCell ref="U114:W114"/>
    <mergeCell ref="O117:Q117"/>
    <mergeCell ref="R117:T117"/>
    <mergeCell ref="O116:Q116"/>
    <mergeCell ref="O115:Q115"/>
    <mergeCell ref="R115:T115"/>
    <mergeCell ref="U115:W115"/>
    <mergeCell ref="X117:Z117"/>
    <mergeCell ref="U117:W117"/>
    <mergeCell ref="X109:Z109"/>
    <mergeCell ref="U108:W108"/>
    <mergeCell ref="U109:W109"/>
    <mergeCell ref="U112:W112"/>
    <mergeCell ref="X110:Z110"/>
    <mergeCell ref="X113:Z113"/>
    <mergeCell ref="X116:Z116"/>
    <mergeCell ref="U111:W111"/>
    <mergeCell ref="I104:K104"/>
    <mergeCell ref="O104:Q104"/>
    <mergeCell ref="J98:K98"/>
    <mergeCell ref="O98:Q98"/>
    <mergeCell ref="X107:Z107"/>
    <mergeCell ref="O111:Q111"/>
    <mergeCell ref="R111:T111"/>
    <mergeCell ref="O110:Q110"/>
    <mergeCell ref="X108:Z108"/>
    <mergeCell ref="X111:Z111"/>
    <mergeCell ref="U121:W121"/>
    <mergeCell ref="U105:W105"/>
    <mergeCell ref="O118:Q118"/>
    <mergeCell ref="R118:T118"/>
    <mergeCell ref="U118:W118"/>
    <mergeCell ref="U110:W110"/>
    <mergeCell ref="R116:T116"/>
    <mergeCell ref="U116:W116"/>
    <mergeCell ref="O113:Q113"/>
    <mergeCell ref="R113:T113"/>
    <mergeCell ref="J105:L105"/>
    <mergeCell ref="O105:Q105"/>
    <mergeCell ref="R105:T105"/>
    <mergeCell ref="J114:L114"/>
    <mergeCell ref="O106:Q106"/>
    <mergeCell ref="R106:T106"/>
    <mergeCell ref="O108:Q108"/>
    <mergeCell ref="O107:Q107"/>
    <mergeCell ref="R107:T107"/>
    <mergeCell ref="R112:T112"/>
    <mergeCell ref="M113:N113"/>
    <mergeCell ref="J108:L108"/>
    <mergeCell ref="R108:T108"/>
    <mergeCell ref="J109:L109"/>
    <mergeCell ref="O109:Q109"/>
    <mergeCell ref="R109:T109"/>
    <mergeCell ref="O112:Q112"/>
    <mergeCell ref="J89:L89"/>
    <mergeCell ref="J55:K55"/>
    <mergeCell ref="J56:K56"/>
    <mergeCell ref="J95:K95"/>
    <mergeCell ref="J93:K93"/>
    <mergeCell ref="J94:K94"/>
    <mergeCell ref="I65:K65"/>
    <mergeCell ref="J66:L66"/>
    <mergeCell ref="A84:N84"/>
    <mergeCell ref="J59:K59"/>
    <mergeCell ref="J58:K58"/>
    <mergeCell ref="R104:T104"/>
    <mergeCell ref="J71:L71"/>
    <mergeCell ref="M70:N70"/>
    <mergeCell ref="J61:L61"/>
    <mergeCell ref="O84:Q84"/>
    <mergeCell ref="O75:Q75"/>
    <mergeCell ref="J60:K60"/>
    <mergeCell ref="L49:M49"/>
    <mergeCell ref="I49:J49"/>
    <mergeCell ref="A44:N44"/>
    <mergeCell ref="J96:K96"/>
    <mergeCell ref="A89:B89"/>
    <mergeCell ref="G89:H89"/>
    <mergeCell ref="J50:L50"/>
    <mergeCell ref="J57:K57"/>
    <mergeCell ref="J62:L62"/>
    <mergeCell ref="J54:K54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  <rowBreaks count="1" manualBreakCount="1">
    <brk id="8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S37"/>
  <sheetViews>
    <sheetView view="pageBreakPreview" zoomScale="75" zoomScaleSheetLayoutView="75" workbookViewId="0">
      <selection activeCell="A7" sqref="A7:S7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2194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8" s="908" customFormat="1" ht="13.5">
      <c r="D17" s="957"/>
    </row>
    <row r="18" spans="3:8" s="908" customFormat="1" ht="13.5">
      <c r="D18" s="957"/>
    </row>
    <row r="19" spans="3:8" s="928" customFormat="1" ht="30" customHeight="1">
      <c r="C19" s="1258"/>
      <c r="D19" s="1259"/>
      <c r="E19" s="1256"/>
      <c r="F19" s="1557"/>
      <c r="G19" s="1558"/>
      <c r="H19" s="1256"/>
    </row>
    <row r="20" spans="3:8" s="908" customFormat="1" ht="13.5">
      <c r="D20" s="957"/>
    </row>
    <row r="21" spans="3:8" s="908" customFormat="1" ht="13.5">
      <c r="D21" s="957"/>
    </row>
    <row r="22" spans="3:8" s="908" customFormat="1" ht="13.5">
      <c r="D22" s="957"/>
    </row>
    <row r="23" spans="3:8" s="908" customFormat="1" ht="13.5">
      <c r="D23" s="957"/>
    </row>
    <row r="24" spans="3:8" s="908" customFormat="1" ht="13.5">
      <c r="D24" s="957"/>
    </row>
    <row r="25" spans="3:8" s="908" customFormat="1" ht="13.5">
      <c r="D25" s="957"/>
    </row>
    <row r="26" spans="3:8" s="908" customFormat="1" ht="13.5">
      <c r="D26" s="957"/>
    </row>
    <row r="27" spans="3:8" s="908" customFormat="1" ht="13.5">
      <c r="D27" s="957"/>
    </row>
    <row r="28" spans="3:8" s="908" customFormat="1" ht="13.5">
      <c r="D28" s="957"/>
    </row>
    <row r="29" spans="3:8" s="908" customFormat="1" ht="13.5">
      <c r="D29" s="957"/>
    </row>
    <row r="30" spans="3:8" s="908" customFormat="1" ht="13.5">
      <c r="D30" s="957"/>
    </row>
    <row r="31" spans="3:8" s="908" customFormat="1" ht="13.5">
      <c r="D31" s="957"/>
    </row>
    <row r="32" spans="3:8" s="908" customFormat="1" ht="13.5">
      <c r="D32" s="957"/>
    </row>
    <row r="33" spans="4:4" s="908" customFormat="1" ht="13.5">
      <c r="D33" s="957"/>
    </row>
    <row r="34" spans="4:4" s="908" customFormat="1" ht="13.5">
      <c r="D34" s="957"/>
    </row>
    <row r="35" spans="4:4" s="908" customFormat="1" ht="13.5">
      <c r="D35" s="957"/>
    </row>
    <row r="36" spans="4:4" s="908" customFormat="1" ht="13.5">
      <c r="D36" s="957"/>
    </row>
    <row r="37" spans="4:4" s="908" customFormat="1" ht="13.5">
      <c r="D37" s="957"/>
    </row>
  </sheetData>
  <mergeCells count="2">
    <mergeCell ref="A7:S7"/>
    <mergeCell ref="F19:G19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Z41"/>
  <sheetViews>
    <sheetView tabSelected="1" view="pageBreakPreview" topLeftCell="A4" zoomScale="115" zoomScaleSheetLayoutView="75" workbookViewId="0">
      <selection activeCell="M30" sqref="M30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26" s="908" customFormat="1" ht="20.100000000000001" customHeight="1">
      <c r="A1" s="1559" t="s">
        <v>1783</v>
      </c>
      <c r="B1" s="1559"/>
      <c r="C1" s="1559"/>
      <c r="D1" s="1559"/>
      <c r="E1" s="1559"/>
      <c r="F1" s="1559"/>
      <c r="G1" s="1559"/>
      <c r="H1" s="1559"/>
      <c r="I1" s="1559"/>
      <c r="J1" s="1559"/>
      <c r="K1" s="1559"/>
      <c r="L1" s="1559"/>
      <c r="M1" s="1559"/>
      <c r="N1" s="1559"/>
      <c r="O1" s="1559"/>
      <c r="P1" s="1559"/>
      <c r="Q1" s="1559"/>
      <c r="R1" s="1559"/>
      <c r="S1" s="1559"/>
      <c r="T1" s="1559"/>
      <c r="U1" s="1559"/>
      <c r="V1" s="1559"/>
      <c r="W1" s="1559"/>
      <c r="X1" s="1559"/>
      <c r="Y1" s="1559"/>
      <c r="Z1" s="1559"/>
    </row>
    <row r="2" spans="1:26" ht="17.100000000000001" customHeight="1">
      <c r="A2" s="1566" t="s">
        <v>1784</v>
      </c>
      <c r="B2" s="1567"/>
      <c r="C2" s="1567"/>
      <c r="D2" s="1567"/>
      <c r="E2" s="1567"/>
      <c r="F2" s="1567"/>
      <c r="G2" s="1567"/>
      <c r="H2" s="1567"/>
      <c r="I2" s="1567"/>
      <c r="J2" s="1567"/>
      <c r="K2" s="1567"/>
      <c r="L2" s="1567"/>
      <c r="M2" s="1567"/>
      <c r="N2" s="1568"/>
      <c r="O2" s="1562" t="s">
        <v>289</v>
      </c>
      <c r="P2" s="1562"/>
      <c r="Q2" s="1562"/>
      <c r="R2" s="1562" t="s">
        <v>826</v>
      </c>
      <c r="S2" s="1562"/>
      <c r="T2" s="1562"/>
      <c r="U2" s="1562" t="s">
        <v>1054</v>
      </c>
      <c r="V2" s="1562"/>
      <c r="W2" s="1562"/>
      <c r="X2" s="1562" t="s">
        <v>989</v>
      </c>
      <c r="Y2" s="1562"/>
      <c r="Z2" s="1563"/>
    </row>
    <row r="3" spans="1:26" ht="17.100000000000001" customHeight="1">
      <c r="A3" s="910" t="s">
        <v>1077</v>
      </c>
      <c r="B3" s="911"/>
      <c r="C3" s="911"/>
      <c r="D3" s="911"/>
      <c r="E3" s="911"/>
      <c r="F3" s="911"/>
      <c r="G3" s="911"/>
      <c r="H3" s="911"/>
      <c r="I3" s="911"/>
      <c r="J3" s="911"/>
      <c r="K3" s="911"/>
      <c r="L3" s="911"/>
      <c r="M3" s="911"/>
      <c r="N3" s="911"/>
      <c r="O3" s="1560"/>
      <c r="P3" s="1560"/>
      <c r="Q3" s="1560"/>
      <c r="R3" s="1560"/>
      <c r="S3" s="1560"/>
      <c r="T3" s="1560"/>
      <c r="U3" s="1560"/>
      <c r="V3" s="1560"/>
      <c r="W3" s="1560"/>
      <c r="X3" s="1560"/>
      <c r="Y3" s="1560"/>
      <c r="Z3" s="1561"/>
    </row>
    <row r="4" spans="1:26" ht="17.100000000000001" customHeight="1">
      <c r="A4" s="912"/>
      <c r="B4" s="911"/>
      <c r="C4" s="911"/>
      <c r="D4" s="911"/>
      <c r="E4" s="911"/>
      <c r="F4" s="911"/>
      <c r="G4" s="911"/>
      <c r="H4" s="911"/>
      <c r="I4" s="911"/>
      <c r="J4" s="911"/>
      <c r="K4" s="911"/>
      <c r="L4" s="911"/>
      <c r="M4" s="911"/>
      <c r="N4" s="911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1"/>
    </row>
    <row r="5" spans="1:26" ht="17.100000000000001" customHeight="1">
      <c r="A5" s="913" t="s">
        <v>1047</v>
      </c>
      <c r="B5" s="914"/>
      <c r="C5" s="914"/>
      <c r="D5" s="914"/>
      <c r="E5" s="914"/>
      <c r="F5" s="914"/>
      <c r="G5" s="914"/>
      <c r="H5" s="914"/>
      <c r="I5" s="914"/>
      <c r="J5" s="914"/>
      <c r="K5" s="914"/>
      <c r="L5" s="914"/>
      <c r="M5" s="914"/>
      <c r="N5" s="914"/>
      <c r="O5" s="1560"/>
      <c r="P5" s="1560"/>
      <c r="Q5" s="1560"/>
      <c r="R5" s="1560"/>
      <c r="S5" s="1560"/>
      <c r="T5" s="1560"/>
      <c r="U5" s="1560"/>
      <c r="V5" s="1560"/>
      <c r="W5" s="1560"/>
      <c r="X5" s="1560"/>
      <c r="Y5" s="1560"/>
      <c r="Z5" s="1561"/>
    </row>
    <row r="6" spans="1:26" ht="17.100000000000001" customHeight="1">
      <c r="A6" s="915" t="s">
        <v>1785</v>
      </c>
      <c r="B6" s="914"/>
      <c r="C6" s="914"/>
      <c r="D6" s="914"/>
      <c r="E6" s="914"/>
      <c r="F6" s="914"/>
      <c r="G6" s="914"/>
      <c r="H6" s="914"/>
      <c r="I6" s="911"/>
      <c r="J6" s="911"/>
      <c r="K6" s="911"/>
      <c r="L6" s="911"/>
      <c r="M6" s="911"/>
      <c r="N6" s="911"/>
      <c r="O6" s="1560"/>
      <c r="P6" s="1560"/>
      <c r="Q6" s="1560"/>
      <c r="R6" s="1560"/>
      <c r="S6" s="1560"/>
      <c r="T6" s="1560"/>
      <c r="U6" s="1560"/>
      <c r="V6" s="1560"/>
      <c r="W6" s="1560"/>
      <c r="X6" s="1560"/>
      <c r="Y6" s="1560"/>
      <c r="Z6" s="1561"/>
    </row>
    <row r="7" spans="1:26" ht="17.100000000000001" customHeight="1">
      <c r="A7" s="913"/>
      <c r="B7" s="916">
        <v>11</v>
      </c>
      <c r="C7" s="916" t="s">
        <v>1786</v>
      </c>
      <c r="D7" s="916" t="s">
        <v>1787</v>
      </c>
      <c r="E7" s="917">
        <v>1.1000000000000001</v>
      </c>
      <c r="F7" s="918" t="s">
        <v>1788</v>
      </c>
      <c r="G7" s="918">
        <v>3</v>
      </c>
      <c r="H7" s="916" t="s">
        <v>1789</v>
      </c>
      <c r="I7" s="1564">
        <f ca="1">'8.0자재단가'!I21</f>
        <v>220</v>
      </c>
      <c r="J7" s="1564"/>
      <c r="K7" s="914"/>
      <c r="L7" s="1565"/>
      <c r="M7" s="1565"/>
      <c r="N7" s="914"/>
      <c r="O7" s="1560"/>
      <c r="P7" s="1560"/>
      <c r="Q7" s="1560"/>
      <c r="R7" s="1560"/>
      <c r="S7" s="1560"/>
      <c r="T7" s="1560"/>
      <c r="U7" s="1560"/>
      <c r="V7" s="1560"/>
      <c r="W7" s="1560"/>
      <c r="X7" s="1560"/>
      <c r="Y7" s="1560"/>
      <c r="Z7" s="1561"/>
    </row>
    <row r="8" spans="1:26" ht="17.100000000000001" customHeight="1">
      <c r="A8" s="913"/>
      <c r="B8" s="914"/>
      <c r="C8" s="914"/>
      <c r="D8" s="914"/>
      <c r="E8" s="914"/>
      <c r="F8" s="914"/>
      <c r="G8" s="914"/>
      <c r="H8" s="914"/>
      <c r="I8" s="919" t="s">
        <v>1052</v>
      </c>
      <c r="J8" s="1575">
        <f>ROUND(B7*E7/G7*I7,1)</f>
        <v>887.3</v>
      </c>
      <c r="K8" s="1575"/>
      <c r="L8" s="1575"/>
      <c r="M8" s="914"/>
      <c r="N8" s="914"/>
      <c r="O8" s="1560">
        <f>J8</f>
        <v>887.3</v>
      </c>
      <c r="P8" s="1560"/>
      <c r="Q8" s="1560"/>
      <c r="R8" s="1560"/>
      <c r="S8" s="1560"/>
      <c r="T8" s="1560"/>
      <c r="U8" s="1560"/>
      <c r="V8" s="1560"/>
      <c r="W8" s="1560"/>
      <c r="X8" s="1560">
        <f>SUM(O8:W8)</f>
        <v>887.3</v>
      </c>
      <c r="Y8" s="1560"/>
      <c r="Z8" s="1561"/>
    </row>
    <row r="9" spans="1:26" ht="17.100000000000001" customHeight="1">
      <c r="A9" s="913"/>
      <c r="B9" s="914"/>
      <c r="C9" s="914"/>
      <c r="D9" s="914"/>
      <c r="E9" s="914"/>
      <c r="F9" s="914"/>
      <c r="G9" s="914"/>
      <c r="H9" s="914"/>
      <c r="I9" s="914"/>
      <c r="J9" s="914"/>
      <c r="K9" s="914"/>
      <c r="L9" s="914"/>
      <c r="M9" s="914"/>
      <c r="N9" s="914"/>
      <c r="O9" s="1560"/>
      <c r="P9" s="1560"/>
      <c r="Q9" s="1560"/>
      <c r="R9" s="1560"/>
      <c r="S9" s="1560"/>
      <c r="T9" s="1560"/>
      <c r="U9" s="1560"/>
      <c r="V9" s="1560"/>
      <c r="W9" s="1560"/>
      <c r="X9" s="1560"/>
      <c r="Y9" s="1560"/>
      <c r="Z9" s="1561"/>
    </row>
    <row r="10" spans="1:26" ht="17.100000000000001" customHeight="1">
      <c r="A10" s="913" t="s">
        <v>1055</v>
      </c>
      <c r="B10" s="914"/>
      <c r="C10" s="914"/>
      <c r="D10" s="914"/>
      <c r="E10" s="914"/>
      <c r="F10" s="914"/>
      <c r="G10" s="914"/>
      <c r="H10" s="914"/>
      <c r="I10" s="914"/>
      <c r="J10" s="914"/>
      <c r="K10" s="914"/>
      <c r="L10" s="914"/>
      <c r="M10" s="914"/>
      <c r="N10" s="914"/>
      <c r="O10" s="1560"/>
      <c r="P10" s="1560"/>
      <c r="Q10" s="1560"/>
      <c r="R10" s="1560"/>
      <c r="S10" s="1560"/>
      <c r="T10" s="1560"/>
      <c r="U10" s="1560"/>
      <c r="V10" s="1560"/>
      <c r="W10" s="1560"/>
      <c r="X10" s="1560"/>
      <c r="Y10" s="1560"/>
      <c r="Z10" s="1561"/>
    </row>
    <row r="11" spans="1:26" ht="17.100000000000001" customHeight="1">
      <c r="A11" s="920" t="s">
        <v>1056</v>
      </c>
      <c r="B11" s="914" t="s">
        <v>1057</v>
      </c>
      <c r="C11" s="914"/>
      <c r="D11" s="914"/>
      <c r="E11" s="914"/>
      <c r="F11" s="914"/>
      <c r="G11" s="914"/>
      <c r="H11" s="914"/>
      <c r="I11" s="914"/>
      <c r="J11" s="914"/>
      <c r="K11" s="914"/>
      <c r="L11" s="914"/>
      <c r="M11" s="914"/>
      <c r="N11" s="914"/>
      <c r="O11" s="1560"/>
      <c r="P11" s="1560"/>
      <c r="Q11" s="1560"/>
      <c r="R11" s="1560"/>
      <c r="S11" s="1560"/>
      <c r="T11" s="1560"/>
      <c r="U11" s="1560"/>
      <c r="V11" s="1560"/>
      <c r="W11" s="1560"/>
      <c r="X11" s="1560"/>
      <c r="Y11" s="1560"/>
      <c r="Z11" s="1561"/>
    </row>
    <row r="12" spans="1:26" ht="17.100000000000001" customHeight="1">
      <c r="A12" s="913"/>
      <c r="B12" s="914" t="s">
        <v>1701</v>
      </c>
      <c r="C12" s="914"/>
      <c r="D12" s="914"/>
      <c r="E12" s="914"/>
      <c r="F12" s="914"/>
      <c r="G12" s="914"/>
      <c r="H12" s="921"/>
      <c r="I12" s="919" t="s">
        <v>1052</v>
      </c>
      <c r="J12" s="1577">
        <v>2000</v>
      </c>
      <c r="K12" s="1577"/>
      <c r="L12" s="914" t="s">
        <v>1058</v>
      </c>
      <c r="M12" s="914"/>
      <c r="N12" s="914"/>
      <c r="O12" s="1560"/>
      <c r="P12" s="1560"/>
      <c r="Q12" s="1560"/>
      <c r="R12" s="1560"/>
      <c r="S12" s="1560"/>
      <c r="T12" s="1560"/>
      <c r="U12" s="1560"/>
      <c r="V12" s="1560"/>
      <c r="W12" s="1560"/>
      <c r="X12" s="1560"/>
      <c r="Y12" s="1560"/>
      <c r="Z12" s="1561"/>
    </row>
    <row r="13" spans="1:26" ht="17.100000000000001" customHeight="1">
      <c r="A13" s="913"/>
      <c r="B13" s="914" t="s">
        <v>1702</v>
      </c>
      <c r="C13" s="914"/>
      <c r="D13" s="914"/>
      <c r="E13" s="914"/>
      <c r="F13" s="914"/>
      <c r="G13" s="914"/>
      <c r="H13" s="914"/>
      <c r="I13" s="914"/>
      <c r="J13" s="1576">
        <f>480-30</f>
        <v>450</v>
      </c>
      <c r="K13" s="1576"/>
      <c r="L13" s="914" t="s">
        <v>1060</v>
      </c>
      <c r="M13" s="914"/>
      <c r="N13" s="914"/>
      <c r="O13" s="1560"/>
      <c r="P13" s="1560"/>
      <c r="Q13" s="1560"/>
      <c r="R13" s="1560"/>
      <c r="S13" s="1560"/>
      <c r="T13" s="1560"/>
      <c r="U13" s="1560"/>
      <c r="V13" s="1560"/>
      <c r="W13" s="1560"/>
      <c r="X13" s="1560"/>
      <c r="Y13" s="1560"/>
      <c r="Z13" s="1561"/>
    </row>
    <row r="14" spans="1:26" ht="17.100000000000001" customHeight="1">
      <c r="A14" s="913"/>
      <c r="B14" s="914" t="s">
        <v>1703</v>
      </c>
      <c r="C14" s="914"/>
      <c r="D14" s="914"/>
      <c r="E14" s="914"/>
      <c r="F14" s="914"/>
      <c r="G14" s="914"/>
      <c r="H14" s="914"/>
      <c r="I14" s="919" t="s">
        <v>1052</v>
      </c>
      <c r="J14" s="1576">
        <v>100</v>
      </c>
      <c r="K14" s="1576"/>
      <c r="L14" s="914" t="s">
        <v>741</v>
      </c>
      <c r="M14" s="914"/>
      <c r="N14" s="914"/>
      <c r="O14" s="1560"/>
      <c r="P14" s="1560"/>
      <c r="Q14" s="1560"/>
      <c r="R14" s="1560"/>
      <c r="S14" s="1560"/>
      <c r="T14" s="1560"/>
      <c r="U14" s="1560"/>
      <c r="V14" s="1560"/>
      <c r="W14" s="1560"/>
      <c r="X14" s="1560"/>
      <c r="Y14" s="1560"/>
      <c r="Z14" s="1561"/>
    </row>
    <row r="15" spans="1:26" ht="17.100000000000001" customHeight="1">
      <c r="A15" s="913"/>
      <c r="B15" s="914" t="s">
        <v>1062</v>
      </c>
      <c r="C15" s="914"/>
      <c r="D15" s="914"/>
      <c r="E15" s="914"/>
      <c r="F15" s="914"/>
      <c r="G15" s="914"/>
      <c r="H15" s="914"/>
      <c r="I15" s="919" t="s">
        <v>1052</v>
      </c>
      <c r="J15" s="1576">
        <v>2</v>
      </c>
      <c r="K15" s="1576"/>
      <c r="L15" s="914" t="s">
        <v>1060</v>
      </c>
      <c r="M15" s="914"/>
      <c r="N15" s="914"/>
      <c r="O15" s="1560"/>
      <c r="P15" s="1560"/>
      <c r="Q15" s="1560"/>
      <c r="R15" s="1560"/>
      <c r="S15" s="1560"/>
      <c r="T15" s="1560"/>
      <c r="U15" s="1560"/>
      <c r="V15" s="1560"/>
      <c r="W15" s="1560"/>
      <c r="X15" s="1560"/>
      <c r="Y15" s="1560"/>
      <c r="Z15" s="1561"/>
    </row>
    <row r="16" spans="1:26" ht="17.100000000000001" customHeight="1">
      <c r="A16" s="913"/>
      <c r="B16" s="914" t="s">
        <v>1067</v>
      </c>
      <c r="C16" s="914"/>
      <c r="D16" s="914"/>
      <c r="E16" s="914"/>
      <c r="F16" s="914"/>
      <c r="G16" s="914"/>
      <c r="H16" s="914"/>
      <c r="I16" s="919" t="s">
        <v>1052</v>
      </c>
      <c r="J16" s="1576">
        <v>30</v>
      </c>
      <c r="K16" s="1576"/>
      <c r="L16" s="914" t="s">
        <v>1704</v>
      </c>
      <c r="M16" s="914"/>
      <c r="N16" s="914"/>
      <c r="O16" s="1560"/>
      <c r="P16" s="1560"/>
      <c r="Q16" s="1560"/>
      <c r="R16" s="1560"/>
      <c r="S16" s="1560"/>
      <c r="T16" s="1560"/>
      <c r="U16" s="1560"/>
      <c r="V16" s="1560"/>
      <c r="W16" s="1560"/>
      <c r="X16" s="1560"/>
      <c r="Y16" s="1560"/>
      <c r="Z16" s="1561"/>
    </row>
    <row r="17" spans="1:26" ht="17.100000000000001" customHeight="1">
      <c r="A17" s="920" t="s">
        <v>1056</v>
      </c>
      <c r="B17" s="914" t="s">
        <v>1065</v>
      </c>
      <c r="C17" s="914"/>
      <c r="D17" s="914"/>
      <c r="E17" s="914"/>
      <c r="F17" s="914"/>
      <c r="G17" s="914"/>
      <c r="H17" s="914"/>
      <c r="I17" s="914"/>
      <c r="J17" s="1578">
        <f>ROUND(J12*J13/(120*J14+J12*J15),3)</f>
        <v>56.25</v>
      </c>
      <c r="K17" s="1578"/>
      <c r="L17" s="914" t="s">
        <v>1066</v>
      </c>
      <c r="M17" s="914"/>
      <c r="N17" s="914"/>
      <c r="O17" s="1560"/>
      <c r="P17" s="1560"/>
      <c r="Q17" s="1560"/>
      <c r="R17" s="1560"/>
      <c r="S17" s="1560"/>
      <c r="T17" s="1560"/>
      <c r="U17" s="1560"/>
      <c r="V17" s="1560"/>
      <c r="W17" s="1560"/>
      <c r="X17" s="1560"/>
      <c r="Y17" s="1560"/>
      <c r="Z17" s="1561"/>
    </row>
    <row r="18" spans="1:26" ht="17.100000000000001" customHeight="1">
      <c r="A18" s="920" t="s">
        <v>1056</v>
      </c>
      <c r="B18" s="914" t="s">
        <v>1069</v>
      </c>
      <c r="C18" s="914"/>
      <c r="D18" s="914"/>
      <c r="E18" s="914"/>
      <c r="F18" s="914"/>
      <c r="G18" s="914"/>
      <c r="H18" s="914"/>
      <c r="I18" s="919" t="s">
        <v>1052</v>
      </c>
      <c r="J18" s="1576">
        <f>J17*J16</f>
        <v>1687.5</v>
      </c>
      <c r="K18" s="1576"/>
      <c r="L18" s="914" t="s">
        <v>1073</v>
      </c>
      <c r="M18" s="914"/>
      <c r="N18" s="914"/>
      <c r="O18" s="1560"/>
      <c r="P18" s="1560"/>
      <c r="Q18" s="1560"/>
      <c r="R18" s="1560"/>
      <c r="S18" s="1560"/>
      <c r="T18" s="1560"/>
      <c r="U18" s="1560"/>
      <c r="V18" s="1560"/>
      <c r="W18" s="1560"/>
      <c r="X18" s="1560"/>
      <c r="Y18" s="1560"/>
      <c r="Z18" s="1561"/>
    </row>
    <row r="19" spans="1:26" ht="17.100000000000001" customHeight="1">
      <c r="A19" s="920" t="s">
        <v>1056</v>
      </c>
      <c r="B19" s="914" t="s">
        <v>1068</v>
      </c>
      <c r="C19" s="914"/>
      <c r="D19" s="919"/>
      <c r="E19" s="914" t="s">
        <v>1072</v>
      </c>
      <c r="F19" s="914"/>
      <c r="G19" s="914"/>
      <c r="H19" s="914"/>
      <c r="I19" s="914" t="s">
        <v>1705</v>
      </c>
      <c r="J19" s="1572">
        <f ca="1">'11.0시중노임'!F6</f>
        <v>68965</v>
      </c>
      <c r="K19" s="1572"/>
      <c r="L19" s="1572"/>
      <c r="M19" s="922"/>
      <c r="N19" s="914"/>
      <c r="O19" s="1560"/>
      <c r="P19" s="1560"/>
      <c r="Q19" s="1560"/>
      <c r="R19" s="1560"/>
      <c r="S19" s="1560"/>
      <c r="T19" s="1560"/>
      <c r="U19" s="1560"/>
      <c r="V19" s="1560"/>
      <c r="W19" s="1560"/>
      <c r="X19" s="1560"/>
      <c r="Y19" s="1560"/>
      <c r="Z19" s="1561"/>
    </row>
    <row r="20" spans="1:26" ht="17.100000000000001" customHeight="1">
      <c r="A20" s="913"/>
      <c r="B20" s="914"/>
      <c r="C20" s="914"/>
      <c r="D20" s="919"/>
      <c r="E20" s="914"/>
      <c r="F20" s="914"/>
      <c r="G20" s="914"/>
      <c r="H20" s="914"/>
      <c r="I20" s="919" t="s">
        <v>1052</v>
      </c>
      <c r="J20" s="1575">
        <f>ROUND(1/J18*B7*1.1*J19,1)</f>
        <v>494.5</v>
      </c>
      <c r="K20" s="1575"/>
      <c r="L20" s="1575"/>
      <c r="M20" s="914"/>
      <c r="N20" s="914"/>
      <c r="O20" s="1560"/>
      <c r="P20" s="1560"/>
      <c r="Q20" s="1560"/>
      <c r="R20" s="1560">
        <f>J20</f>
        <v>494.5</v>
      </c>
      <c r="S20" s="1560"/>
      <c r="T20" s="1560"/>
      <c r="U20" s="1560"/>
      <c r="V20" s="1560"/>
      <c r="W20" s="1560"/>
      <c r="X20" s="1560">
        <f>SUM(O20:W20)</f>
        <v>494.5</v>
      </c>
      <c r="Y20" s="1560"/>
      <c r="Z20" s="1561"/>
    </row>
    <row r="21" spans="1:26" ht="17.100000000000001" customHeight="1">
      <c r="A21" s="913"/>
      <c r="B21" s="914"/>
      <c r="C21" s="914"/>
      <c r="D21" s="914"/>
      <c r="E21" s="914"/>
      <c r="F21" s="914"/>
      <c r="G21" s="914"/>
      <c r="H21" s="914"/>
      <c r="I21" s="914"/>
      <c r="J21" s="914"/>
      <c r="K21" s="914"/>
      <c r="L21" s="914"/>
      <c r="M21" s="914"/>
      <c r="N21" s="914"/>
      <c r="O21" s="1560"/>
      <c r="P21" s="1560"/>
      <c r="Q21" s="1560"/>
      <c r="R21" s="1560"/>
      <c r="S21" s="1560"/>
      <c r="T21" s="1560"/>
      <c r="U21" s="1560"/>
      <c r="V21" s="1560"/>
      <c r="W21" s="1560"/>
      <c r="X21" s="1560"/>
      <c r="Y21" s="1560"/>
      <c r="Z21" s="1561"/>
    </row>
    <row r="22" spans="1:26" ht="17.100000000000001" customHeight="1">
      <c r="A22" s="913" t="s">
        <v>1576</v>
      </c>
      <c r="B22" s="914"/>
      <c r="C22" s="914"/>
      <c r="D22" s="914"/>
      <c r="E22" s="914"/>
      <c r="F22" s="914"/>
      <c r="G22" s="914"/>
      <c r="H22" s="914"/>
      <c r="I22" s="914"/>
      <c r="J22" s="914"/>
      <c r="K22" s="914"/>
      <c r="L22" s="914"/>
      <c r="M22" s="914"/>
      <c r="N22" s="914"/>
      <c r="O22" s="1560"/>
      <c r="P22" s="1560"/>
      <c r="Q22" s="1560"/>
      <c r="R22" s="1560"/>
      <c r="S22" s="1560"/>
      <c r="T22" s="1560"/>
      <c r="U22" s="1560"/>
      <c r="V22" s="1560"/>
      <c r="W22" s="1560"/>
      <c r="X22" s="1560"/>
      <c r="Y22" s="1560"/>
      <c r="Z22" s="1561"/>
    </row>
    <row r="23" spans="1:26" ht="17.100000000000001" customHeight="1">
      <c r="A23" s="920" t="s">
        <v>1056</v>
      </c>
      <c r="B23" s="914" t="s">
        <v>1068</v>
      </c>
      <c r="C23" s="914"/>
      <c r="D23" s="914"/>
      <c r="E23" s="914" t="s">
        <v>1572</v>
      </c>
      <c r="F23" s="914"/>
      <c r="G23" s="914"/>
      <c r="H23" s="914"/>
      <c r="I23" s="1572">
        <f ca="1">'11.0시중노임'!F6</f>
        <v>68965</v>
      </c>
      <c r="J23" s="1572"/>
      <c r="K23" s="1572"/>
      <c r="L23" s="914"/>
      <c r="M23" s="914"/>
      <c r="N23" s="914"/>
      <c r="O23" s="1560"/>
      <c r="P23" s="1560"/>
      <c r="Q23" s="1560"/>
      <c r="R23" s="1560"/>
      <c r="S23" s="1560"/>
      <c r="T23" s="1560"/>
      <c r="U23" s="1560"/>
      <c r="V23" s="1560"/>
      <c r="W23" s="1560"/>
      <c r="X23" s="1560"/>
      <c r="Y23" s="1560"/>
      <c r="Z23" s="1561"/>
    </row>
    <row r="24" spans="1:26" ht="17.100000000000001" customHeight="1">
      <c r="A24" s="913"/>
      <c r="B24" s="914"/>
      <c r="C24" s="914"/>
      <c r="D24" s="914"/>
      <c r="E24" s="914"/>
      <c r="F24" s="914"/>
      <c r="G24" s="914"/>
      <c r="H24" s="914"/>
      <c r="I24" s="919" t="s">
        <v>1052</v>
      </c>
      <c r="J24" s="1571">
        <f>ROUND((5/100)*I23,1)</f>
        <v>3448.3</v>
      </c>
      <c r="K24" s="1571"/>
      <c r="L24" s="1571"/>
      <c r="M24" s="914"/>
      <c r="N24" s="914"/>
      <c r="O24" s="1560"/>
      <c r="P24" s="1560"/>
      <c r="Q24" s="1560"/>
      <c r="R24" s="1569">
        <f>J24</f>
        <v>3448.3</v>
      </c>
      <c r="S24" s="1560"/>
      <c r="T24" s="1560"/>
      <c r="U24" s="1560"/>
      <c r="V24" s="1560"/>
      <c r="W24" s="1560"/>
      <c r="X24" s="1560">
        <f>SUM(O24:W24)</f>
        <v>3448.3</v>
      </c>
      <c r="Y24" s="1560"/>
      <c r="Z24" s="1561"/>
    </row>
    <row r="25" spans="1:26" ht="17.100000000000001" customHeight="1">
      <c r="A25" s="913"/>
      <c r="B25" s="914"/>
      <c r="C25" s="914"/>
      <c r="D25" s="914"/>
      <c r="E25" s="914"/>
      <c r="F25" s="914"/>
      <c r="G25" s="914"/>
      <c r="H25" s="914"/>
      <c r="I25" s="914"/>
      <c r="J25" s="914"/>
      <c r="K25" s="914"/>
      <c r="L25" s="914"/>
      <c r="M25" s="914"/>
      <c r="N25" s="914"/>
      <c r="O25" s="1560"/>
      <c r="P25" s="1560"/>
      <c r="Q25" s="1560"/>
      <c r="R25" s="1560"/>
      <c r="S25" s="1560"/>
      <c r="T25" s="1560"/>
      <c r="U25" s="1560"/>
      <c r="V25" s="1560"/>
      <c r="W25" s="1560"/>
      <c r="X25" s="1560"/>
      <c r="Y25" s="1560"/>
      <c r="Z25" s="1561"/>
    </row>
    <row r="26" spans="1:26" ht="17.100000000000001" customHeight="1">
      <c r="A26" s="913" t="s">
        <v>1574</v>
      </c>
      <c r="B26" s="914"/>
      <c r="C26" s="914"/>
      <c r="D26" s="914"/>
      <c r="E26" s="914"/>
      <c r="F26" s="914"/>
      <c r="G26" s="914"/>
      <c r="H26" s="914"/>
      <c r="I26" s="914"/>
      <c r="J26" s="914"/>
      <c r="K26" s="914"/>
      <c r="L26" s="914"/>
      <c r="M26" s="914"/>
      <c r="N26" s="914"/>
      <c r="O26" s="1560"/>
      <c r="P26" s="1560"/>
      <c r="Q26" s="1560"/>
      <c r="R26" s="1560"/>
      <c r="S26" s="1560"/>
      <c r="T26" s="1560"/>
      <c r="U26" s="1560"/>
      <c r="V26" s="1560"/>
      <c r="W26" s="1560"/>
      <c r="X26" s="1560"/>
      <c r="Y26" s="1560"/>
      <c r="Z26" s="1561"/>
    </row>
    <row r="27" spans="1:26" ht="17.100000000000001" customHeight="1">
      <c r="A27" s="920" t="s">
        <v>1056</v>
      </c>
      <c r="B27" s="914" t="s">
        <v>1068</v>
      </c>
      <c r="C27" s="914"/>
      <c r="D27" s="914"/>
      <c r="E27" s="914"/>
      <c r="F27" s="914"/>
      <c r="G27" s="914"/>
      <c r="H27" s="914"/>
      <c r="I27" s="914"/>
      <c r="J27" s="914"/>
      <c r="K27" s="914"/>
      <c r="L27" s="914"/>
      <c r="M27" s="914"/>
      <c r="N27" s="914"/>
      <c r="O27" s="1560"/>
      <c r="P27" s="1560"/>
      <c r="Q27" s="1560"/>
      <c r="R27" s="1560"/>
      <c r="S27" s="1560"/>
      <c r="T27" s="1560"/>
      <c r="U27" s="1560"/>
      <c r="V27" s="1560"/>
      <c r="W27" s="1560"/>
      <c r="X27" s="1560"/>
      <c r="Y27" s="1560"/>
      <c r="Z27" s="1561"/>
    </row>
    <row r="28" spans="1:26" ht="17.100000000000001" customHeight="1">
      <c r="A28" s="913" t="s">
        <v>1082</v>
      </c>
      <c r="B28" s="914"/>
      <c r="C28" s="914"/>
      <c r="D28" s="914"/>
      <c r="E28" s="914"/>
      <c r="F28" s="914"/>
      <c r="G28" s="914"/>
      <c r="H28" s="914"/>
      <c r="I28" s="919"/>
      <c r="J28" s="914"/>
      <c r="K28" s="914"/>
      <c r="L28" s="914"/>
      <c r="M28" s="1572">
        <f ca="1">'11.0시중노임'!F6</f>
        <v>68965</v>
      </c>
      <c r="N28" s="1573"/>
      <c r="O28" s="1560"/>
      <c r="P28" s="1560"/>
      <c r="Q28" s="1560"/>
      <c r="R28" s="1560"/>
      <c r="S28" s="1560"/>
      <c r="T28" s="1560"/>
      <c r="U28" s="1560"/>
      <c r="V28" s="1560"/>
      <c r="W28" s="1560"/>
      <c r="X28" s="1560"/>
      <c r="Y28" s="1560"/>
      <c r="Z28" s="1561"/>
    </row>
    <row r="29" spans="1:26" ht="17.100000000000001" customHeight="1">
      <c r="A29" s="913"/>
      <c r="B29" s="914"/>
      <c r="C29" s="914"/>
      <c r="D29" s="914"/>
      <c r="E29" s="914"/>
      <c r="F29" s="914"/>
      <c r="G29" s="914"/>
      <c r="H29" s="914"/>
      <c r="I29" s="919" t="s">
        <v>1052</v>
      </c>
      <c r="J29" s="1571">
        <f>ROUND((((0.24+0.19)/2/10)+(7.6/100))/((25+50)/2)*M28,1)</f>
        <v>179.3</v>
      </c>
      <c r="K29" s="1571"/>
      <c r="L29" s="1571"/>
      <c r="M29" s="914"/>
      <c r="N29" s="914"/>
      <c r="O29" s="1560"/>
      <c r="P29" s="1560"/>
      <c r="Q29" s="1560"/>
      <c r="R29" s="1569">
        <f>J29</f>
        <v>179.3</v>
      </c>
      <c r="S29" s="1560"/>
      <c r="T29" s="1560"/>
      <c r="U29" s="1560"/>
      <c r="V29" s="1560"/>
      <c r="W29" s="1560"/>
      <c r="X29" s="1560">
        <f>SUM(O29:W29)</f>
        <v>179.3</v>
      </c>
      <c r="Y29" s="1560"/>
      <c r="Z29" s="1561"/>
    </row>
    <row r="30" spans="1:26" ht="17.100000000000001" customHeight="1">
      <c r="A30" s="913"/>
      <c r="B30" s="914"/>
      <c r="C30" s="914"/>
      <c r="D30" s="914"/>
      <c r="E30" s="914"/>
      <c r="F30" s="914"/>
      <c r="G30" s="914"/>
      <c r="H30" s="914"/>
      <c r="I30" s="914"/>
      <c r="J30" s="914"/>
      <c r="K30" s="914"/>
      <c r="L30" s="914"/>
      <c r="M30" s="914"/>
      <c r="N30" s="914"/>
      <c r="O30" s="1560"/>
      <c r="P30" s="1560"/>
      <c r="Q30" s="1560"/>
      <c r="R30" s="1560"/>
      <c r="S30" s="1560"/>
      <c r="T30" s="1560"/>
      <c r="U30" s="1560"/>
      <c r="V30" s="1560"/>
      <c r="W30" s="1560"/>
      <c r="X30" s="1560"/>
      <c r="Y30" s="1560"/>
      <c r="Z30" s="1561"/>
    </row>
    <row r="31" spans="1:26" ht="17.100000000000001" customHeight="1">
      <c r="A31" s="913"/>
      <c r="B31" s="914"/>
      <c r="C31" s="914"/>
      <c r="D31" s="914"/>
      <c r="E31" s="914"/>
      <c r="F31" s="914"/>
      <c r="G31" s="914"/>
      <c r="H31" s="914"/>
      <c r="I31" s="914"/>
      <c r="J31" s="914"/>
      <c r="K31" s="914"/>
      <c r="L31" s="914"/>
      <c r="M31" s="914"/>
      <c r="N31" s="914"/>
      <c r="O31" s="1560"/>
      <c r="P31" s="1560"/>
      <c r="Q31" s="1560"/>
      <c r="R31" s="1560"/>
      <c r="S31" s="1560"/>
      <c r="T31" s="1560"/>
      <c r="U31" s="1560"/>
      <c r="V31" s="1560"/>
      <c r="W31" s="1560"/>
      <c r="X31" s="1560"/>
      <c r="Y31" s="1560"/>
      <c r="Z31" s="1561"/>
    </row>
    <row r="32" spans="1:26" ht="17.100000000000001" customHeight="1">
      <c r="A32" s="913"/>
      <c r="B32" s="914"/>
      <c r="C32" s="914"/>
      <c r="D32" s="914"/>
      <c r="E32" s="914"/>
      <c r="F32" s="914"/>
      <c r="G32" s="914"/>
      <c r="H32" s="914"/>
      <c r="I32" s="914"/>
      <c r="J32" s="914"/>
      <c r="K32" s="914"/>
      <c r="L32" s="914"/>
      <c r="M32" s="914"/>
      <c r="N32" s="914"/>
      <c r="O32" s="1560"/>
      <c r="P32" s="1560"/>
      <c r="Q32" s="1560"/>
      <c r="R32" s="1560"/>
      <c r="S32" s="1560"/>
      <c r="T32" s="1560"/>
      <c r="U32" s="1560"/>
      <c r="V32" s="1560"/>
      <c r="W32" s="1560"/>
      <c r="X32" s="1560"/>
      <c r="Y32" s="1560"/>
      <c r="Z32" s="1561"/>
    </row>
    <row r="33" spans="1:26" ht="17.100000000000001" customHeight="1">
      <c r="A33" s="913"/>
      <c r="B33" s="914"/>
      <c r="C33" s="914"/>
      <c r="D33" s="914"/>
      <c r="E33" s="914"/>
      <c r="F33" s="914"/>
      <c r="G33" s="914"/>
      <c r="H33" s="914"/>
      <c r="I33" s="914"/>
      <c r="J33" s="914"/>
      <c r="K33" s="914"/>
      <c r="L33" s="914"/>
      <c r="M33" s="914"/>
      <c r="N33" s="914"/>
      <c r="O33" s="1560"/>
      <c r="P33" s="1560"/>
      <c r="Q33" s="1560"/>
      <c r="R33" s="1560"/>
      <c r="S33" s="1560"/>
      <c r="T33" s="1560"/>
      <c r="U33" s="1560"/>
      <c r="V33" s="1560"/>
      <c r="W33" s="1560"/>
      <c r="X33" s="1560"/>
      <c r="Y33" s="1560"/>
      <c r="Z33" s="1561"/>
    </row>
    <row r="34" spans="1:26" ht="17.100000000000001" customHeight="1">
      <c r="A34" s="913"/>
      <c r="B34" s="914"/>
      <c r="C34" s="914"/>
      <c r="D34" s="914"/>
      <c r="E34" s="914"/>
      <c r="F34" s="914"/>
      <c r="G34" s="914"/>
      <c r="H34" s="914"/>
      <c r="I34" s="914"/>
      <c r="J34" s="914"/>
      <c r="K34" s="914"/>
      <c r="L34" s="914"/>
      <c r="M34" s="914"/>
      <c r="N34" s="914"/>
      <c r="O34" s="1560"/>
      <c r="P34" s="1560"/>
      <c r="Q34" s="1560"/>
      <c r="R34" s="1560"/>
      <c r="S34" s="1560"/>
      <c r="T34" s="1560"/>
      <c r="U34" s="1560"/>
      <c r="V34" s="1560"/>
      <c r="W34" s="1560"/>
      <c r="X34" s="1560"/>
      <c r="Y34" s="1560"/>
      <c r="Z34" s="1561"/>
    </row>
    <row r="35" spans="1:26" ht="17.100000000000001" customHeight="1">
      <c r="A35" s="913"/>
      <c r="B35" s="914"/>
      <c r="C35" s="914"/>
      <c r="D35" s="914"/>
      <c r="E35" s="914"/>
      <c r="F35" s="914"/>
      <c r="G35" s="914"/>
      <c r="H35" s="914"/>
      <c r="I35" s="914"/>
      <c r="J35" s="914"/>
      <c r="K35" s="914"/>
      <c r="L35" s="914"/>
      <c r="M35" s="914"/>
      <c r="N35" s="914"/>
      <c r="O35" s="1560"/>
      <c r="P35" s="1560"/>
      <c r="Q35" s="1560"/>
      <c r="R35" s="1560"/>
      <c r="S35" s="1560"/>
      <c r="T35" s="1560"/>
      <c r="U35" s="1560"/>
      <c r="V35" s="1560"/>
      <c r="W35" s="1560"/>
      <c r="X35" s="1560"/>
      <c r="Y35" s="1560"/>
      <c r="Z35" s="1561"/>
    </row>
    <row r="36" spans="1:26" ht="17.100000000000001" customHeight="1">
      <c r="A36" s="913"/>
      <c r="B36" s="914"/>
      <c r="C36" s="914"/>
      <c r="D36" s="914"/>
      <c r="E36" s="914"/>
      <c r="F36" s="914"/>
      <c r="G36" s="914"/>
      <c r="H36" s="914"/>
      <c r="I36" s="914"/>
      <c r="J36" s="914"/>
      <c r="K36" s="914"/>
      <c r="L36" s="914"/>
      <c r="M36" s="914"/>
      <c r="N36" s="914"/>
      <c r="O36" s="1560"/>
      <c r="P36" s="1560"/>
      <c r="Q36" s="1560"/>
      <c r="R36" s="1560"/>
      <c r="S36" s="1560"/>
      <c r="T36" s="1560"/>
      <c r="U36" s="1560"/>
      <c r="V36" s="1560"/>
      <c r="W36" s="1560"/>
      <c r="X36" s="1560"/>
      <c r="Y36" s="1560"/>
      <c r="Z36" s="1561"/>
    </row>
    <row r="37" spans="1:26" ht="17.100000000000001" customHeight="1">
      <c r="A37" s="913"/>
      <c r="B37" s="914"/>
      <c r="C37" s="914"/>
      <c r="D37" s="914"/>
      <c r="E37" s="914"/>
      <c r="F37" s="914"/>
      <c r="G37" s="914"/>
      <c r="H37" s="914"/>
      <c r="I37" s="914"/>
      <c r="J37" s="914"/>
      <c r="K37" s="914"/>
      <c r="L37" s="914"/>
      <c r="M37" s="914"/>
      <c r="N37" s="914"/>
      <c r="O37" s="1560"/>
      <c r="P37" s="1560"/>
      <c r="Q37" s="1560"/>
      <c r="R37" s="1560"/>
      <c r="S37" s="1560"/>
      <c r="T37" s="1560"/>
      <c r="U37" s="1560"/>
      <c r="V37" s="1560"/>
      <c r="W37" s="1560"/>
      <c r="X37" s="1560"/>
      <c r="Y37" s="1560"/>
      <c r="Z37" s="1561"/>
    </row>
    <row r="38" spans="1:26" ht="17.100000000000001" customHeight="1">
      <c r="A38" s="913"/>
      <c r="B38" s="914"/>
      <c r="C38" s="914"/>
      <c r="D38" s="914"/>
      <c r="E38" s="914"/>
      <c r="F38" s="914"/>
      <c r="G38" s="914"/>
      <c r="H38" s="914"/>
      <c r="I38" s="914"/>
      <c r="J38" s="914"/>
      <c r="K38" s="914"/>
      <c r="L38" s="914"/>
      <c r="M38" s="914"/>
      <c r="N38" s="914"/>
      <c r="O38" s="1560"/>
      <c r="P38" s="1560"/>
      <c r="Q38" s="1560"/>
      <c r="R38" s="1560"/>
      <c r="S38" s="1560"/>
      <c r="T38" s="1560"/>
      <c r="U38" s="1560"/>
      <c r="V38" s="1560"/>
      <c r="W38" s="1560"/>
      <c r="X38" s="1560"/>
      <c r="Y38" s="1560"/>
      <c r="Z38" s="1561"/>
    </row>
    <row r="39" spans="1:26" ht="17.100000000000001" customHeight="1">
      <c r="A39" s="913"/>
      <c r="B39" s="914"/>
      <c r="C39" s="914"/>
      <c r="D39" s="914"/>
      <c r="E39" s="914"/>
      <c r="F39" s="914"/>
      <c r="G39" s="914"/>
      <c r="H39" s="914"/>
      <c r="I39" s="914"/>
      <c r="J39" s="914"/>
      <c r="K39" s="914"/>
      <c r="L39" s="914"/>
      <c r="M39" s="914"/>
      <c r="N39" s="914"/>
      <c r="O39" s="1560"/>
      <c r="P39" s="1560"/>
      <c r="Q39" s="1560"/>
      <c r="R39" s="1560"/>
      <c r="S39" s="1560"/>
      <c r="T39" s="1560"/>
      <c r="U39" s="1560"/>
      <c r="V39" s="1560"/>
      <c r="W39" s="1560"/>
      <c r="X39" s="1560"/>
      <c r="Y39" s="1560"/>
      <c r="Z39" s="1561"/>
    </row>
    <row r="40" spans="1:26" ht="17.100000000000001" customHeight="1">
      <c r="A40" s="913"/>
      <c r="B40" s="914"/>
      <c r="C40" s="914"/>
      <c r="D40" s="914"/>
      <c r="E40" s="914"/>
      <c r="F40" s="914"/>
      <c r="G40" s="914"/>
      <c r="H40" s="914"/>
      <c r="I40" s="914"/>
      <c r="J40" s="914"/>
      <c r="K40" s="914"/>
      <c r="L40" s="914"/>
      <c r="M40" s="914"/>
      <c r="N40" s="914"/>
      <c r="O40" s="1560"/>
      <c r="P40" s="1560"/>
      <c r="Q40" s="1560"/>
      <c r="R40" s="1560"/>
      <c r="S40" s="1560"/>
      <c r="T40" s="1560"/>
      <c r="U40" s="1560"/>
      <c r="V40" s="1560"/>
      <c r="W40" s="1560"/>
      <c r="X40" s="1560"/>
      <c r="Y40" s="1560"/>
      <c r="Z40" s="1561"/>
    </row>
    <row r="41" spans="1:26" ht="17.100000000000001" customHeight="1">
      <c r="A41" s="923"/>
      <c r="B41" s="924" t="s">
        <v>751</v>
      </c>
      <c r="C41" s="924"/>
      <c r="D41" s="924"/>
      <c r="E41" s="924"/>
      <c r="F41" s="924"/>
      <c r="G41" s="924"/>
      <c r="H41" s="924"/>
      <c r="I41" s="924"/>
      <c r="J41" s="924"/>
      <c r="K41" s="924"/>
      <c r="L41" s="924"/>
      <c r="M41" s="924"/>
      <c r="N41" s="924"/>
      <c r="O41" s="1570">
        <f>INT(SUM(O5:Q40))</f>
        <v>887</v>
      </c>
      <c r="P41" s="1570"/>
      <c r="Q41" s="1570"/>
      <c r="R41" s="1570">
        <f>INT(SUM(R5:T40))</f>
        <v>4122</v>
      </c>
      <c r="S41" s="1570"/>
      <c r="T41" s="1570"/>
      <c r="U41" s="1570">
        <f>SUM(U5:W40)</f>
        <v>0</v>
      </c>
      <c r="V41" s="1570"/>
      <c r="W41" s="1570"/>
      <c r="X41" s="1570">
        <f>INT(SUM(X5:Z40))</f>
        <v>5009</v>
      </c>
      <c r="Y41" s="1570"/>
      <c r="Z41" s="1574"/>
    </row>
  </sheetData>
  <mergeCells count="178">
    <mergeCell ref="I23:K23"/>
    <mergeCell ref="J17:K17"/>
    <mergeCell ref="J16:K16"/>
    <mergeCell ref="J19:L19"/>
    <mergeCell ref="J20:L20"/>
    <mergeCell ref="J8:L8"/>
    <mergeCell ref="J13:K13"/>
    <mergeCell ref="J14:K14"/>
    <mergeCell ref="J12:K12"/>
    <mergeCell ref="O15:Q15"/>
    <mergeCell ref="J18:K18"/>
    <mergeCell ref="O18:Q18"/>
    <mergeCell ref="O16:Q16"/>
    <mergeCell ref="J15:K15"/>
    <mergeCell ref="X38:Z38"/>
    <mergeCell ref="U38:W38"/>
    <mergeCell ref="X19:Z19"/>
    <mergeCell ref="U35:W35"/>
    <mergeCell ref="X37:Z37"/>
    <mergeCell ref="R32:T32"/>
    <mergeCell ref="X33:Z33"/>
    <mergeCell ref="R25:T25"/>
    <mergeCell ref="R26:T26"/>
    <mergeCell ref="O26:Q26"/>
    <mergeCell ref="R8:T8"/>
    <mergeCell ref="R12:T12"/>
    <mergeCell ref="X18:Z18"/>
    <mergeCell ref="O14:Q14"/>
    <mergeCell ref="R14:T14"/>
    <mergeCell ref="O11:Q11"/>
    <mergeCell ref="R11:T11"/>
    <mergeCell ref="U37:W37"/>
    <mergeCell ref="U31:W31"/>
    <mergeCell ref="X36:Z36"/>
    <mergeCell ref="O24:Q24"/>
    <mergeCell ref="U27:W27"/>
    <mergeCell ref="O29:Q29"/>
    <mergeCell ref="O27:Q27"/>
    <mergeCell ref="R27:T27"/>
    <mergeCell ref="U26:W26"/>
    <mergeCell ref="O25:Q25"/>
    <mergeCell ref="O7:Q7"/>
    <mergeCell ref="R7:T7"/>
    <mergeCell ref="U7:W7"/>
    <mergeCell ref="O12:Q12"/>
    <mergeCell ref="O13:Q13"/>
    <mergeCell ref="O21:Q21"/>
    <mergeCell ref="R21:T21"/>
    <mergeCell ref="X7:Z7"/>
    <mergeCell ref="X20:Z20"/>
    <mergeCell ref="U21:W21"/>
    <mergeCell ref="U15:W15"/>
    <mergeCell ref="X9:Z9"/>
    <mergeCell ref="U11:W11"/>
    <mergeCell ref="U12:W12"/>
    <mergeCell ref="U8:W8"/>
    <mergeCell ref="X21:Z21"/>
    <mergeCell ref="U9:W9"/>
    <mergeCell ref="O20:Q20"/>
    <mergeCell ref="O8:Q8"/>
    <mergeCell ref="R18:T18"/>
    <mergeCell ref="O17:Q17"/>
    <mergeCell ref="O9:Q9"/>
    <mergeCell ref="R9:T9"/>
    <mergeCell ref="O10:Q10"/>
    <mergeCell ref="R10:T10"/>
    <mergeCell ref="R13:T13"/>
    <mergeCell ref="R16:T16"/>
    <mergeCell ref="X41:Z41"/>
    <mergeCell ref="X40:Z40"/>
    <mergeCell ref="X39:Z39"/>
    <mergeCell ref="J24:L24"/>
    <mergeCell ref="O40:Q40"/>
    <mergeCell ref="O39:Q39"/>
    <mergeCell ref="O36:Q36"/>
    <mergeCell ref="O30:Q30"/>
    <mergeCell ref="O28:Q28"/>
    <mergeCell ref="U24:W24"/>
    <mergeCell ref="R40:T40"/>
    <mergeCell ref="X30:Z30"/>
    <mergeCell ref="X35:Z35"/>
    <mergeCell ref="X31:Z31"/>
    <mergeCell ref="X28:Z28"/>
    <mergeCell ref="X32:Z32"/>
    <mergeCell ref="R33:T33"/>
    <mergeCell ref="U33:W33"/>
    <mergeCell ref="U34:W34"/>
    <mergeCell ref="X34:Z34"/>
    <mergeCell ref="O41:Q41"/>
    <mergeCell ref="R41:T41"/>
    <mergeCell ref="R38:T38"/>
    <mergeCell ref="O34:Q34"/>
    <mergeCell ref="J29:L29"/>
    <mergeCell ref="M28:N28"/>
    <mergeCell ref="R34:T34"/>
    <mergeCell ref="O37:Q37"/>
    <mergeCell ref="R39:T39"/>
    <mergeCell ref="R30:T30"/>
    <mergeCell ref="O22:Q22"/>
    <mergeCell ref="R37:T37"/>
    <mergeCell ref="O38:Q38"/>
    <mergeCell ref="U36:W36"/>
    <mergeCell ref="R22:T22"/>
    <mergeCell ref="U32:W32"/>
    <mergeCell ref="R35:T35"/>
    <mergeCell ref="U30:W30"/>
    <mergeCell ref="U28:W28"/>
    <mergeCell ref="O33:Q33"/>
    <mergeCell ref="R28:T28"/>
    <mergeCell ref="U19:W19"/>
    <mergeCell ref="U16:W16"/>
    <mergeCell ref="U18:W18"/>
    <mergeCell ref="R17:T17"/>
    <mergeCell ref="U41:W41"/>
    <mergeCell ref="R36:T36"/>
    <mergeCell ref="R29:T29"/>
    <mergeCell ref="U40:W40"/>
    <mergeCell ref="U39:W39"/>
    <mergeCell ref="X15:Z15"/>
    <mergeCell ref="R20:T20"/>
    <mergeCell ref="O19:Q19"/>
    <mergeCell ref="R19:T19"/>
    <mergeCell ref="O35:Q35"/>
    <mergeCell ref="O23:Q23"/>
    <mergeCell ref="R23:T23"/>
    <mergeCell ref="R31:T31"/>
    <mergeCell ref="O31:Q31"/>
    <mergeCell ref="R24:T24"/>
    <mergeCell ref="U25:W25"/>
    <mergeCell ref="X29:Z29"/>
    <mergeCell ref="X17:Z17"/>
    <mergeCell ref="U20:W20"/>
    <mergeCell ref="U29:W29"/>
    <mergeCell ref="U22:W22"/>
    <mergeCell ref="U23:W23"/>
    <mergeCell ref="X25:Z25"/>
    <mergeCell ref="X26:Z26"/>
    <mergeCell ref="X27:Z27"/>
    <mergeCell ref="R15:T15"/>
    <mergeCell ref="I7:J7"/>
    <mergeCell ref="L7:M7"/>
    <mergeCell ref="A2:N2"/>
    <mergeCell ref="R6:T6"/>
    <mergeCell ref="X11:Z11"/>
    <mergeCell ref="X14:Z14"/>
    <mergeCell ref="U13:W13"/>
    <mergeCell ref="X13:Z13"/>
    <mergeCell ref="U14:W14"/>
    <mergeCell ref="U2:W2"/>
    <mergeCell ref="X22:Z22"/>
    <mergeCell ref="X24:Z24"/>
    <mergeCell ref="X23:Z23"/>
    <mergeCell ref="U5:W5"/>
    <mergeCell ref="X5:Z5"/>
    <mergeCell ref="X8:Z8"/>
    <mergeCell ref="X12:Z12"/>
    <mergeCell ref="U17:W17"/>
    <mergeCell ref="X16:Z16"/>
    <mergeCell ref="U10:W10"/>
    <mergeCell ref="O32:Q32"/>
    <mergeCell ref="X10:Z10"/>
    <mergeCell ref="R2:T2"/>
    <mergeCell ref="O2:Q2"/>
    <mergeCell ref="U6:W6"/>
    <mergeCell ref="X6:Z6"/>
    <mergeCell ref="O5:Q5"/>
    <mergeCell ref="R5:T5"/>
    <mergeCell ref="O6:Q6"/>
    <mergeCell ref="A1:Z1"/>
    <mergeCell ref="X3:Z3"/>
    <mergeCell ref="O4:Q4"/>
    <mergeCell ref="R4:T4"/>
    <mergeCell ref="U4:W4"/>
    <mergeCell ref="X4:Z4"/>
    <mergeCell ref="O3:Q3"/>
    <mergeCell ref="R3:T3"/>
    <mergeCell ref="U3:W3"/>
    <mergeCell ref="X2:Z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7"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Z41"/>
  <sheetViews>
    <sheetView view="pageBreakPreview" topLeftCell="A11" zoomScale="130" zoomScaleSheetLayoutView="75" workbookViewId="0">
      <selection activeCell="M31" sqref="M31:N31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26" s="908" customFormat="1" ht="20.100000000000001" customHeight="1">
      <c r="A1" s="1559" t="s">
        <v>1790</v>
      </c>
      <c r="B1" s="1559"/>
      <c r="C1" s="1559"/>
      <c r="D1" s="1559"/>
      <c r="E1" s="1559"/>
      <c r="F1" s="1559"/>
      <c r="G1" s="1559"/>
      <c r="H1" s="1559"/>
      <c r="I1" s="1559"/>
      <c r="J1" s="1559"/>
      <c r="K1" s="1559"/>
      <c r="L1" s="1559"/>
      <c r="M1" s="1559"/>
      <c r="N1" s="1559"/>
      <c r="O1" s="1559"/>
      <c r="P1" s="1559"/>
      <c r="Q1" s="1559"/>
      <c r="R1" s="1559"/>
      <c r="S1" s="1559"/>
      <c r="T1" s="1559"/>
      <c r="U1" s="1559"/>
      <c r="V1" s="1559"/>
      <c r="W1" s="1559"/>
      <c r="X1" s="1559"/>
      <c r="Y1" s="1559"/>
      <c r="Z1" s="1559"/>
    </row>
    <row r="2" spans="1:26" ht="17.100000000000001" customHeight="1">
      <c r="A2" s="1566" t="s">
        <v>1784</v>
      </c>
      <c r="B2" s="1567"/>
      <c r="C2" s="1567"/>
      <c r="D2" s="1567"/>
      <c r="E2" s="1567"/>
      <c r="F2" s="1567"/>
      <c r="G2" s="1567"/>
      <c r="H2" s="1567"/>
      <c r="I2" s="1567"/>
      <c r="J2" s="1567"/>
      <c r="K2" s="1567"/>
      <c r="L2" s="1567"/>
      <c r="M2" s="1567"/>
      <c r="N2" s="1568"/>
      <c r="O2" s="1562" t="s">
        <v>1791</v>
      </c>
      <c r="P2" s="1562"/>
      <c r="Q2" s="1562"/>
      <c r="R2" s="1562" t="s">
        <v>1792</v>
      </c>
      <c r="S2" s="1562"/>
      <c r="T2" s="1562"/>
      <c r="U2" s="1562" t="s">
        <v>1793</v>
      </c>
      <c r="V2" s="1562"/>
      <c r="W2" s="1562"/>
      <c r="X2" s="1562" t="s">
        <v>1794</v>
      </c>
      <c r="Y2" s="1562"/>
      <c r="Z2" s="1563"/>
    </row>
    <row r="3" spans="1:26" ht="17.100000000000001" customHeight="1">
      <c r="A3" s="910" t="s">
        <v>1795</v>
      </c>
      <c r="B3" s="911"/>
      <c r="C3" s="911"/>
      <c r="D3" s="911"/>
      <c r="E3" s="911"/>
      <c r="F3" s="911"/>
      <c r="G3" s="911"/>
      <c r="H3" s="911"/>
      <c r="I3" s="911"/>
      <c r="J3" s="911"/>
      <c r="K3" s="911"/>
      <c r="L3" s="911"/>
      <c r="M3" s="911"/>
      <c r="N3" s="911"/>
      <c r="O3" s="1560"/>
      <c r="P3" s="1560"/>
      <c r="Q3" s="1560"/>
      <c r="R3" s="1560"/>
      <c r="S3" s="1560"/>
      <c r="T3" s="1560"/>
      <c r="U3" s="1560"/>
      <c r="V3" s="1560"/>
      <c r="W3" s="1560"/>
      <c r="X3" s="1560"/>
      <c r="Y3" s="1560"/>
      <c r="Z3" s="1561"/>
    </row>
    <row r="4" spans="1:26" ht="17.100000000000001" customHeight="1">
      <c r="A4" s="912"/>
      <c r="B4" s="911"/>
      <c r="C4" s="911"/>
      <c r="D4" s="911"/>
      <c r="E4" s="911"/>
      <c r="F4" s="911"/>
      <c r="G4" s="911"/>
      <c r="H4" s="911"/>
      <c r="I4" s="911"/>
      <c r="J4" s="911"/>
      <c r="K4" s="911"/>
      <c r="L4" s="911"/>
      <c r="M4" s="911"/>
      <c r="N4" s="911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/>
      <c r="Z4" s="1561"/>
    </row>
    <row r="5" spans="1:26" ht="17.100000000000001" customHeight="1">
      <c r="A5" s="913" t="s">
        <v>1796</v>
      </c>
      <c r="B5" s="914"/>
      <c r="C5" s="914"/>
      <c r="D5" s="914"/>
      <c r="E5" s="914"/>
      <c r="F5" s="914"/>
      <c r="G5" s="914"/>
      <c r="H5" s="914"/>
      <c r="I5" s="914"/>
      <c r="J5" s="914"/>
      <c r="K5" s="914"/>
      <c r="L5" s="914"/>
      <c r="M5" s="914"/>
      <c r="N5" s="914"/>
      <c r="O5" s="1560"/>
      <c r="P5" s="1560"/>
      <c r="Q5" s="1560"/>
      <c r="R5" s="1560"/>
      <c r="S5" s="1560"/>
      <c r="T5" s="1560"/>
      <c r="U5" s="1560"/>
      <c r="V5" s="1560"/>
      <c r="W5" s="1560"/>
      <c r="X5" s="1560"/>
      <c r="Y5" s="1560"/>
      <c r="Z5" s="1561"/>
    </row>
    <row r="6" spans="1:26" ht="17.100000000000001" customHeight="1">
      <c r="A6" s="915" t="s">
        <v>1785</v>
      </c>
      <c r="B6" s="916"/>
      <c r="C6" s="916"/>
      <c r="D6" s="916"/>
      <c r="E6" s="916"/>
      <c r="F6" s="916"/>
      <c r="G6" s="916"/>
      <c r="H6" s="916"/>
      <c r="I6" s="911"/>
      <c r="J6" s="911"/>
      <c r="K6" s="911"/>
      <c r="L6" s="911"/>
      <c r="M6" s="911"/>
      <c r="N6" s="911"/>
      <c r="O6" s="1560"/>
      <c r="P6" s="1560"/>
      <c r="Q6" s="1560"/>
      <c r="R6" s="1560"/>
      <c r="S6" s="1560"/>
      <c r="T6" s="1560"/>
      <c r="U6" s="1560"/>
      <c r="V6" s="1560"/>
      <c r="W6" s="1560"/>
      <c r="X6" s="1560"/>
      <c r="Y6" s="1560"/>
      <c r="Z6" s="1561"/>
    </row>
    <row r="7" spans="1:26" ht="17.100000000000001" customHeight="1">
      <c r="A7" s="1579">
        <v>11</v>
      </c>
      <c r="B7" s="1580"/>
      <c r="C7" s="916" t="s">
        <v>1049</v>
      </c>
      <c r="D7" s="918" t="s">
        <v>1705</v>
      </c>
      <c r="E7" s="917">
        <v>1.1000000000000001</v>
      </c>
      <c r="F7" s="918" t="s">
        <v>1705</v>
      </c>
      <c r="G7" s="1564">
        <f ca="1">'8.0자재단가'!I21</f>
        <v>220</v>
      </c>
      <c r="H7" s="1564"/>
      <c r="I7" s="919" t="s">
        <v>1052</v>
      </c>
      <c r="J7" s="1571">
        <f>ROUND(A7*E7*G7,1)</f>
        <v>2662</v>
      </c>
      <c r="K7" s="1571"/>
      <c r="L7" s="1571"/>
      <c r="M7" s="914"/>
      <c r="N7" s="914"/>
      <c r="O7" s="1560">
        <f>J7</f>
        <v>2662</v>
      </c>
      <c r="P7" s="1560"/>
      <c r="Q7" s="1560"/>
      <c r="R7" s="1560"/>
      <c r="S7" s="1560"/>
      <c r="T7" s="1560"/>
      <c r="U7" s="1560"/>
      <c r="V7" s="1560"/>
      <c r="W7" s="1560"/>
      <c r="X7" s="1560">
        <f>SUM(O7:W7)</f>
        <v>2662</v>
      </c>
      <c r="Y7" s="1560"/>
      <c r="Z7" s="1561"/>
    </row>
    <row r="8" spans="1:26" ht="17.100000000000001" customHeight="1">
      <c r="A8" s="913"/>
      <c r="B8" s="914"/>
      <c r="C8" s="914"/>
      <c r="D8" s="914"/>
      <c r="E8" s="914"/>
      <c r="F8" s="914"/>
      <c r="G8" s="914"/>
      <c r="H8" s="914"/>
      <c r="I8" s="914"/>
      <c r="J8" s="914"/>
      <c r="K8" s="914"/>
      <c r="L8" s="914"/>
      <c r="M8" s="914"/>
      <c r="N8" s="914"/>
      <c r="O8" s="1560"/>
      <c r="P8" s="1560"/>
      <c r="Q8" s="1560"/>
      <c r="R8" s="1560"/>
      <c r="S8" s="1560"/>
      <c r="T8" s="1560"/>
      <c r="U8" s="1560"/>
      <c r="V8" s="1560"/>
      <c r="W8" s="1560"/>
      <c r="X8" s="1560"/>
      <c r="Y8" s="1560"/>
      <c r="Z8" s="1561"/>
    </row>
    <row r="9" spans="1:26" ht="17.100000000000001" customHeight="1">
      <c r="A9" s="913" t="s">
        <v>1055</v>
      </c>
      <c r="B9" s="914"/>
      <c r="C9" s="914"/>
      <c r="D9" s="914"/>
      <c r="E9" s="914"/>
      <c r="F9" s="914"/>
      <c r="G9" s="914"/>
      <c r="H9" s="914"/>
      <c r="I9" s="914"/>
      <c r="J9" s="914"/>
      <c r="K9" s="914"/>
      <c r="L9" s="914"/>
      <c r="M9" s="914"/>
      <c r="N9" s="914"/>
      <c r="O9" s="1560"/>
      <c r="P9" s="1560"/>
      <c r="Q9" s="1560"/>
      <c r="R9" s="1560"/>
      <c r="S9" s="1560"/>
      <c r="T9" s="1560"/>
      <c r="U9" s="1560"/>
      <c r="V9" s="1560"/>
      <c r="W9" s="1560"/>
      <c r="X9" s="1560"/>
      <c r="Y9" s="1560"/>
      <c r="Z9" s="1561"/>
    </row>
    <row r="10" spans="1:26" ht="17.100000000000001" customHeight="1">
      <c r="A10" s="920" t="s">
        <v>1056</v>
      </c>
      <c r="B10" s="914" t="s">
        <v>1057</v>
      </c>
      <c r="C10" s="914"/>
      <c r="D10" s="914"/>
      <c r="E10" s="914"/>
      <c r="F10" s="914"/>
      <c r="G10" s="914"/>
      <c r="H10" s="914"/>
      <c r="I10" s="914"/>
      <c r="J10" s="914"/>
      <c r="K10" s="914"/>
      <c r="L10" s="914"/>
      <c r="M10" s="914"/>
      <c r="N10" s="914"/>
      <c r="O10" s="1560"/>
      <c r="P10" s="1560"/>
      <c r="Q10" s="1560"/>
      <c r="R10" s="1560"/>
      <c r="S10" s="1560"/>
      <c r="T10" s="1560"/>
      <c r="U10" s="1560"/>
      <c r="V10" s="1560"/>
      <c r="W10" s="1560"/>
      <c r="X10" s="1560"/>
      <c r="Y10" s="1560"/>
      <c r="Z10" s="1561"/>
    </row>
    <row r="11" spans="1:26" ht="17.100000000000001" customHeight="1">
      <c r="A11" s="913"/>
      <c r="B11" s="914" t="s">
        <v>1701</v>
      </c>
      <c r="C11" s="914"/>
      <c r="D11" s="914"/>
      <c r="E11" s="914"/>
      <c r="F11" s="914"/>
      <c r="G11" s="914"/>
      <c r="H11" s="921"/>
      <c r="I11" s="919" t="s">
        <v>1052</v>
      </c>
      <c r="J11" s="1577">
        <v>2000</v>
      </c>
      <c r="K11" s="1577"/>
      <c r="L11" s="914" t="s">
        <v>1058</v>
      </c>
      <c r="M11" s="914"/>
      <c r="N11" s="914"/>
      <c r="O11" s="1560"/>
      <c r="P11" s="1560"/>
      <c r="Q11" s="1560"/>
      <c r="R11" s="1560"/>
      <c r="S11" s="1560"/>
      <c r="T11" s="1560"/>
      <c r="U11" s="1560"/>
      <c r="V11" s="1560"/>
      <c r="W11" s="1560"/>
      <c r="X11" s="1560"/>
      <c r="Y11" s="1560"/>
      <c r="Z11" s="1561"/>
    </row>
    <row r="12" spans="1:26" ht="17.100000000000001" customHeight="1">
      <c r="A12" s="913"/>
      <c r="B12" s="914" t="s">
        <v>1702</v>
      </c>
      <c r="C12" s="914"/>
      <c r="D12" s="914"/>
      <c r="E12" s="914"/>
      <c r="F12" s="914"/>
      <c r="G12" s="914"/>
      <c r="H12" s="914"/>
      <c r="I12" s="914"/>
      <c r="J12" s="1576">
        <f>480-30</f>
        <v>450</v>
      </c>
      <c r="K12" s="1576"/>
      <c r="L12" s="914" t="s">
        <v>1060</v>
      </c>
      <c r="M12" s="914"/>
      <c r="N12" s="914"/>
      <c r="O12" s="1560"/>
      <c r="P12" s="1560"/>
      <c r="Q12" s="1560"/>
      <c r="R12" s="1560"/>
      <c r="S12" s="1560"/>
      <c r="T12" s="1560"/>
      <c r="U12" s="1560"/>
      <c r="V12" s="1560"/>
      <c r="W12" s="1560"/>
      <c r="X12" s="1560"/>
      <c r="Y12" s="1560"/>
      <c r="Z12" s="1561"/>
    </row>
    <row r="13" spans="1:26" ht="17.100000000000001" customHeight="1">
      <c r="A13" s="913"/>
      <c r="B13" s="914" t="s">
        <v>1703</v>
      </c>
      <c r="C13" s="914"/>
      <c r="D13" s="914"/>
      <c r="E13" s="914"/>
      <c r="F13" s="914"/>
      <c r="G13" s="914"/>
      <c r="H13" s="914"/>
      <c r="I13" s="919" t="s">
        <v>1052</v>
      </c>
      <c r="J13" s="1576">
        <v>100</v>
      </c>
      <c r="K13" s="1576"/>
      <c r="L13" s="914" t="s">
        <v>741</v>
      </c>
      <c r="M13" s="914"/>
      <c r="N13" s="914"/>
      <c r="O13" s="1560"/>
      <c r="P13" s="1560"/>
      <c r="Q13" s="1560"/>
      <c r="R13" s="1560"/>
      <c r="S13" s="1560"/>
      <c r="T13" s="1560"/>
      <c r="U13" s="1560"/>
      <c r="V13" s="1560"/>
      <c r="W13" s="1560"/>
      <c r="X13" s="1560"/>
      <c r="Y13" s="1560"/>
      <c r="Z13" s="1561"/>
    </row>
    <row r="14" spans="1:26" ht="17.100000000000001" customHeight="1">
      <c r="A14" s="913"/>
      <c r="B14" s="914" t="s">
        <v>1062</v>
      </c>
      <c r="C14" s="914"/>
      <c r="D14" s="914"/>
      <c r="E14" s="914"/>
      <c r="F14" s="914"/>
      <c r="G14" s="914"/>
      <c r="H14" s="914"/>
      <c r="I14" s="919" t="s">
        <v>1052</v>
      </c>
      <c r="J14" s="1576">
        <v>2</v>
      </c>
      <c r="K14" s="1576"/>
      <c r="L14" s="914" t="s">
        <v>1060</v>
      </c>
      <c r="M14" s="914"/>
      <c r="N14" s="914"/>
      <c r="O14" s="1560"/>
      <c r="P14" s="1560"/>
      <c r="Q14" s="1560"/>
      <c r="R14" s="1560"/>
      <c r="S14" s="1560"/>
      <c r="T14" s="1560"/>
      <c r="U14" s="1560"/>
      <c r="V14" s="1560"/>
      <c r="W14" s="1560"/>
      <c r="X14" s="1560"/>
      <c r="Y14" s="1560"/>
      <c r="Z14" s="1561"/>
    </row>
    <row r="15" spans="1:26" ht="17.100000000000001" customHeight="1">
      <c r="A15" s="913"/>
      <c r="B15" s="914" t="s">
        <v>1067</v>
      </c>
      <c r="C15" s="914"/>
      <c r="D15" s="914"/>
      <c r="E15" s="914"/>
      <c r="F15" s="914"/>
      <c r="G15" s="914"/>
      <c r="H15" s="914"/>
      <c r="I15" s="919" t="s">
        <v>1052</v>
      </c>
      <c r="J15" s="1576">
        <v>10</v>
      </c>
      <c r="K15" s="1576"/>
      <c r="L15" s="914" t="s">
        <v>1080</v>
      </c>
      <c r="M15" s="914"/>
      <c r="N15" s="914"/>
      <c r="O15" s="1560"/>
      <c r="P15" s="1560"/>
      <c r="Q15" s="1560"/>
      <c r="R15" s="1560"/>
      <c r="S15" s="1560"/>
      <c r="T15" s="1560"/>
      <c r="U15" s="1560"/>
      <c r="V15" s="1560"/>
      <c r="W15" s="1560"/>
      <c r="X15" s="1560"/>
      <c r="Y15" s="1560"/>
      <c r="Z15" s="1561"/>
    </row>
    <row r="16" spans="1:26" ht="17.100000000000001" customHeight="1">
      <c r="A16" s="920" t="s">
        <v>1056</v>
      </c>
      <c r="B16" s="914" t="s">
        <v>1065</v>
      </c>
      <c r="C16" s="914"/>
      <c r="D16" s="914"/>
      <c r="E16" s="914"/>
      <c r="F16" s="914"/>
      <c r="G16" s="914"/>
      <c r="H16" s="914"/>
      <c r="I16" s="914"/>
      <c r="J16" s="1578">
        <f>ROUND(J11*J12/(120*J13+J11*J14),3)</f>
        <v>56.25</v>
      </c>
      <c r="K16" s="1578"/>
      <c r="L16" s="914" t="s">
        <v>1066</v>
      </c>
      <c r="M16" s="914"/>
      <c r="N16" s="914"/>
      <c r="O16" s="1560"/>
      <c r="P16" s="1560"/>
      <c r="Q16" s="1560"/>
      <c r="R16" s="1560"/>
      <c r="S16" s="1560"/>
      <c r="T16" s="1560"/>
      <c r="U16" s="1560"/>
      <c r="V16" s="1560"/>
      <c r="W16" s="1560"/>
      <c r="X16" s="1560"/>
      <c r="Y16" s="1560"/>
      <c r="Z16" s="1561"/>
    </row>
    <row r="17" spans="1:26" ht="17.100000000000001" customHeight="1">
      <c r="A17" s="920" t="s">
        <v>1056</v>
      </c>
      <c r="B17" s="914" t="s">
        <v>1069</v>
      </c>
      <c r="C17" s="914"/>
      <c r="D17" s="914"/>
      <c r="E17" s="914"/>
      <c r="F17" s="914"/>
      <c r="G17" s="914"/>
      <c r="H17" s="914"/>
      <c r="I17" s="919" t="s">
        <v>1052</v>
      </c>
      <c r="J17" s="1576">
        <f>J16*J15</f>
        <v>562.5</v>
      </c>
      <c r="K17" s="1576"/>
      <c r="L17" s="914" t="s">
        <v>1073</v>
      </c>
      <c r="M17" s="914"/>
      <c r="N17" s="914"/>
      <c r="O17" s="1560"/>
      <c r="P17" s="1560"/>
      <c r="Q17" s="1560"/>
      <c r="R17" s="1560"/>
      <c r="S17" s="1560"/>
      <c r="T17" s="1560"/>
      <c r="U17" s="1560"/>
      <c r="V17" s="1560"/>
      <c r="W17" s="1560"/>
      <c r="X17" s="1560"/>
      <c r="Y17" s="1560"/>
      <c r="Z17" s="1561"/>
    </row>
    <row r="18" spans="1:26" ht="17.100000000000001" customHeight="1">
      <c r="A18" s="920" t="s">
        <v>1056</v>
      </c>
      <c r="B18" s="914" t="s">
        <v>1068</v>
      </c>
      <c r="C18" s="914"/>
      <c r="D18" s="919"/>
      <c r="E18" s="914" t="s">
        <v>1072</v>
      </c>
      <c r="F18" s="914"/>
      <c r="G18" s="914"/>
      <c r="H18" s="914"/>
      <c r="I18" s="914" t="s">
        <v>1705</v>
      </c>
      <c r="J18" s="1572">
        <f ca="1">'11.0시중노임'!F6</f>
        <v>68965</v>
      </c>
      <c r="K18" s="1572"/>
      <c r="L18" s="1572"/>
      <c r="M18" s="922"/>
      <c r="N18" s="914"/>
      <c r="O18" s="1560"/>
      <c r="P18" s="1560"/>
      <c r="Q18" s="1560"/>
      <c r="R18" s="1560"/>
      <c r="S18" s="1560"/>
      <c r="T18" s="1560"/>
      <c r="U18" s="1560"/>
      <c r="V18" s="1560"/>
      <c r="W18" s="1560"/>
      <c r="X18" s="1560"/>
      <c r="Y18" s="1560"/>
      <c r="Z18" s="1561"/>
    </row>
    <row r="19" spans="1:26" ht="17.100000000000001" customHeight="1">
      <c r="A19" s="913"/>
      <c r="B19" s="914"/>
      <c r="C19" s="914"/>
      <c r="D19" s="919"/>
      <c r="E19" s="914"/>
      <c r="F19" s="914"/>
      <c r="G19" s="914"/>
      <c r="H19" s="914"/>
      <c r="I19" s="919" t="s">
        <v>1052</v>
      </c>
      <c r="J19" s="1575">
        <f>ROUND(1/J17*A7*1.1*J18,1)</f>
        <v>1483.5</v>
      </c>
      <c r="K19" s="1575"/>
      <c r="L19" s="1575"/>
      <c r="M19" s="914"/>
      <c r="N19" s="914"/>
      <c r="O19" s="1560"/>
      <c r="P19" s="1560"/>
      <c r="Q19" s="1560"/>
      <c r="R19" s="1560">
        <f>J19</f>
        <v>1483.5</v>
      </c>
      <c r="S19" s="1560"/>
      <c r="T19" s="1560"/>
      <c r="U19" s="1560"/>
      <c r="V19" s="1560"/>
      <c r="W19" s="1560"/>
      <c r="X19" s="1560">
        <f>SUM(O19:W19)</f>
        <v>1483.5</v>
      </c>
      <c r="Y19" s="1560"/>
      <c r="Z19" s="1561"/>
    </row>
    <row r="20" spans="1:26" ht="17.100000000000001" customHeight="1">
      <c r="A20" s="913"/>
      <c r="B20" s="914"/>
      <c r="C20" s="914"/>
      <c r="D20" s="914"/>
      <c r="E20" s="914"/>
      <c r="F20" s="914"/>
      <c r="G20" s="914"/>
      <c r="H20" s="914"/>
      <c r="I20" s="914"/>
      <c r="J20" s="914"/>
      <c r="K20" s="914"/>
      <c r="L20" s="914"/>
      <c r="M20" s="914"/>
      <c r="N20" s="914"/>
      <c r="O20" s="1560"/>
      <c r="P20" s="1560"/>
      <c r="Q20" s="1560"/>
      <c r="R20" s="1560"/>
      <c r="S20" s="1560"/>
      <c r="T20" s="1560"/>
      <c r="U20" s="1560"/>
      <c r="V20" s="1560"/>
      <c r="W20" s="1560"/>
      <c r="X20" s="1560"/>
      <c r="Y20" s="1560"/>
      <c r="Z20" s="1561"/>
    </row>
    <row r="21" spans="1:26" ht="17.100000000000001" customHeight="1">
      <c r="A21" s="913" t="s">
        <v>1576</v>
      </c>
      <c r="B21" s="914"/>
      <c r="C21" s="914"/>
      <c r="D21" s="914"/>
      <c r="E21" s="914"/>
      <c r="F21" s="914"/>
      <c r="G21" s="914"/>
      <c r="H21" s="914"/>
      <c r="I21" s="914"/>
      <c r="J21" s="914"/>
      <c r="K21" s="914"/>
      <c r="L21" s="914"/>
      <c r="M21" s="914"/>
      <c r="N21" s="914"/>
      <c r="O21" s="1560"/>
      <c r="P21" s="1560"/>
      <c r="Q21" s="1560"/>
      <c r="R21" s="1560"/>
      <c r="S21" s="1560"/>
      <c r="T21" s="1560"/>
      <c r="U21" s="1560"/>
      <c r="V21" s="1560"/>
      <c r="W21" s="1560"/>
      <c r="X21" s="1560"/>
      <c r="Y21" s="1560"/>
      <c r="Z21" s="1561"/>
    </row>
    <row r="22" spans="1:26" ht="17.100000000000001" customHeight="1">
      <c r="A22" s="920" t="s">
        <v>1056</v>
      </c>
      <c r="B22" s="914" t="s">
        <v>1068</v>
      </c>
      <c r="C22" s="914"/>
      <c r="D22" s="914"/>
      <c r="E22" s="914" t="s">
        <v>1575</v>
      </c>
      <c r="F22" s="914"/>
      <c r="G22" s="914"/>
      <c r="H22" s="914"/>
      <c r="I22" s="1572">
        <f ca="1">'11.0시중노임'!F6</f>
        <v>68965</v>
      </c>
      <c r="J22" s="1572"/>
      <c r="K22" s="1572"/>
      <c r="L22" s="914"/>
      <c r="M22" s="914"/>
      <c r="N22" s="914"/>
      <c r="O22" s="1560"/>
      <c r="P22" s="1560"/>
      <c r="Q22" s="1560"/>
      <c r="R22" s="1560"/>
      <c r="S22" s="1560"/>
      <c r="T22" s="1560"/>
      <c r="U22" s="1560"/>
      <c r="V22" s="1560"/>
      <c r="W22" s="1560"/>
      <c r="X22" s="1560"/>
      <c r="Y22" s="1560"/>
      <c r="Z22" s="1561"/>
    </row>
    <row r="23" spans="1:26" ht="17.100000000000001" customHeight="1">
      <c r="A23" s="913"/>
      <c r="B23" s="914"/>
      <c r="C23" s="914"/>
      <c r="D23" s="914"/>
      <c r="E23" s="914"/>
      <c r="F23" s="914"/>
      <c r="G23" s="914"/>
      <c r="H23" s="914"/>
      <c r="I23" s="919" t="s">
        <v>1052</v>
      </c>
      <c r="J23" s="1571">
        <f>ROUND((6/100)*I22,1)</f>
        <v>4137.8999999999996</v>
      </c>
      <c r="K23" s="1571"/>
      <c r="L23" s="1571"/>
      <c r="M23" s="914"/>
      <c r="N23" s="914"/>
      <c r="O23" s="1560"/>
      <c r="P23" s="1560"/>
      <c r="Q23" s="1560"/>
      <c r="R23" s="1569">
        <f>J23</f>
        <v>4137.8999999999996</v>
      </c>
      <c r="S23" s="1560"/>
      <c r="T23" s="1560"/>
      <c r="U23" s="1560"/>
      <c r="V23" s="1560"/>
      <c r="W23" s="1560"/>
      <c r="X23" s="1560">
        <f>SUM(O23:W23)</f>
        <v>4137.8999999999996</v>
      </c>
      <c r="Y23" s="1560"/>
      <c r="Z23" s="1561"/>
    </row>
    <row r="24" spans="1:26" ht="17.100000000000001" customHeight="1">
      <c r="A24" s="913"/>
      <c r="B24" s="914"/>
      <c r="C24" s="914"/>
      <c r="D24" s="914"/>
      <c r="E24" s="914"/>
      <c r="F24" s="914"/>
      <c r="G24" s="914"/>
      <c r="H24" s="914"/>
      <c r="I24" s="914"/>
      <c r="J24" s="914"/>
      <c r="K24" s="914"/>
      <c r="L24" s="914"/>
      <c r="M24" s="914"/>
      <c r="N24" s="914"/>
      <c r="O24" s="1560"/>
      <c r="P24" s="1560"/>
      <c r="Q24" s="1560"/>
      <c r="R24" s="1560"/>
      <c r="S24" s="1560"/>
      <c r="T24" s="1560"/>
      <c r="U24" s="1560"/>
      <c r="V24" s="1560"/>
      <c r="W24" s="1560"/>
      <c r="X24" s="1560"/>
      <c r="Y24" s="1560"/>
      <c r="Z24" s="1561"/>
    </row>
    <row r="25" spans="1:26" ht="17.100000000000001" customHeight="1">
      <c r="A25" s="913" t="s">
        <v>1706</v>
      </c>
      <c r="B25" s="914"/>
      <c r="C25" s="914"/>
      <c r="D25" s="914"/>
      <c r="E25" s="914"/>
      <c r="F25" s="914"/>
      <c r="G25" s="914"/>
      <c r="H25" s="914"/>
      <c r="I25" s="914"/>
      <c r="J25" s="914"/>
      <c r="K25" s="914"/>
      <c r="L25" s="914"/>
      <c r="M25" s="914"/>
      <c r="N25" s="914"/>
      <c r="O25" s="1560"/>
      <c r="P25" s="1560"/>
      <c r="Q25" s="1560"/>
      <c r="R25" s="1560"/>
      <c r="S25" s="1560"/>
      <c r="T25" s="1560"/>
      <c r="U25" s="1560"/>
      <c r="V25" s="1560"/>
      <c r="W25" s="1560"/>
      <c r="X25" s="1560"/>
      <c r="Y25" s="1560"/>
      <c r="Z25" s="1561"/>
    </row>
    <row r="26" spans="1:26" ht="17.100000000000001" customHeight="1">
      <c r="A26" s="920" t="s">
        <v>1056</v>
      </c>
      <c r="B26" s="914" t="s">
        <v>1068</v>
      </c>
      <c r="C26" s="914"/>
      <c r="D26" s="914"/>
      <c r="E26" s="914" t="s">
        <v>1707</v>
      </c>
      <c r="F26" s="914"/>
      <c r="G26" s="914"/>
      <c r="H26" s="914"/>
      <c r="I26" s="914"/>
      <c r="J26" s="1572">
        <f ca="1">'11.0시중노임'!F6</f>
        <v>68965</v>
      </c>
      <c r="K26" s="1572"/>
      <c r="L26" s="1572"/>
      <c r="M26" s="914"/>
      <c r="N26" s="914"/>
      <c r="O26" s="1560"/>
      <c r="P26" s="1560"/>
      <c r="Q26" s="1560"/>
      <c r="R26" s="1560"/>
      <c r="S26" s="1560"/>
      <c r="T26" s="1560"/>
      <c r="U26" s="1560"/>
      <c r="V26" s="1560"/>
      <c r="W26" s="1560"/>
      <c r="X26" s="1560"/>
      <c r="Y26" s="1560"/>
      <c r="Z26" s="1561"/>
    </row>
    <row r="27" spans="1:26" ht="17.100000000000001" customHeight="1">
      <c r="A27" s="913"/>
      <c r="B27" s="914"/>
      <c r="C27" s="914"/>
      <c r="D27" s="914"/>
      <c r="E27" s="914"/>
      <c r="F27" s="914"/>
      <c r="G27" s="914"/>
      <c r="H27" s="914"/>
      <c r="I27" s="919" t="s">
        <v>1052</v>
      </c>
      <c r="J27" s="1571">
        <f>ROUND((22/1000)*J26,1)</f>
        <v>1517.2</v>
      </c>
      <c r="K27" s="1571"/>
      <c r="L27" s="1571"/>
      <c r="M27" s="914"/>
      <c r="N27" s="914"/>
      <c r="O27" s="1560"/>
      <c r="P27" s="1560"/>
      <c r="Q27" s="1560"/>
      <c r="R27" s="1569">
        <f>J27</f>
        <v>1517.2</v>
      </c>
      <c r="S27" s="1560"/>
      <c r="T27" s="1560"/>
      <c r="U27" s="1560"/>
      <c r="V27" s="1560"/>
      <c r="W27" s="1560"/>
      <c r="X27" s="1560">
        <f>SUM(O27:W27)</f>
        <v>1517.2</v>
      </c>
      <c r="Y27" s="1560"/>
      <c r="Z27" s="1561"/>
    </row>
    <row r="28" spans="1:26" ht="17.100000000000001" customHeight="1">
      <c r="A28" s="913"/>
      <c r="B28" s="914"/>
      <c r="C28" s="914"/>
      <c r="D28" s="914"/>
      <c r="E28" s="914"/>
      <c r="F28" s="914"/>
      <c r="G28" s="914"/>
      <c r="H28" s="914"/>
      <c r="I28" s="914"/>
      <c r="J28" s="914"/>
      <c r="K28" s="914"/>
      <c r="L28" s="914"/>
      <c r="M28" s="914"/>
      <c r="N28" s="914"/>
      <c r="O28" s="1560"/>
      <c r="P28" s="1560"/>
      <c r="Q28" s="1560"/>
      <c r="R28" s="1560"/>
      <c r="S28" s="1560"/>
      <c r="T28" s="1560"/>
      <c r="U28" s="1560"/>
      <c r="V28" s="1560"/>
      <c r="W28" s="1560"/>
      <c r="X28" s="1560"/>
      <c r="Y28" s="1560"/>
      <c r="Z28" s="1561"/>
    </row>
    <row r="29" spans="1:26" ht="17.100000000000001" customHeight="1">
      <c r="A29" s="913" t="s">
        <v>1574</v>
      </c>
      <c r="B29" s="914"/>
      <c r="C29" s="914"/>
      <c r="D29" s="914"/>
      <c r="E29" s="914"/>
      <c r="F29" s="914"/>
      <c r="G29" s="914"/>
      <c r="H29" s="914"/>
      <c r="I29" s="914"/>
      <c r="J29" s="914"/>
      <c r="K29" s="914"/>
      <c r="L29" s="914"/>
      <c r="M29" s="914"/>
      <c r="N29" s="914"/>
      <c r="O29" s="1560"/>
      <c r="P29" s="1560"/>
      <c r="Q29" s="1560"/>
      <c r="R29" s="1560"/>
      <c r="S29" s="1560"/>
      <c r="T29" s="1560"/>
      <c r="U29" s="1560"/>
      <c r="V29" s="1560"/>
      <c r="W29" s="1560"/>
      <c r="X29" s="1560"/>
      <c r="Y29" s="1560"/>
      <c r="Z29" s="1561"/>
    </row>
    <row r="30" spans="1:26" ht="17.100000000000001" customHeight="1">
      <c r="A30" s="920" t="s">
        <v>1056</v>
      </c>
      <c r="B30" s="914" t="s">
        <v>1068</v>
      </c>
      <c r="C30" s="914"/>
      <c r="D30" s="914"/>
      <c r="E30" s="914"/>
      <c r="F30" s="914"/>
      <c r="G30" s="914"/>
      <c r="H30" s="914"/>
      <c r="I30" s="914"/>
      <c r="J30" s="914"/>
      <c r="K30" s="914"/>
      <c r="L30" s="914"/>
      <c r="M30" s="914"/>
      <c r="N30" s="914"/>
      <c r="O30" s="1560"/>
      <c r="P30" s="1560"/>
      <c r="Q30" s="1560"/>
      <c r="R30" s="1560"/>
      <c r="S30" s="1560"/>
      <c r="T30" s="1560"/>
      <c r="U30" s="1560"/>
      <c r="V30" s="1560"/>
      <c r="W30" s="1560"/>
      <c r="X30" s="1560"/>
      <c r="Y30" s="1560"/>
      <c r="Z30" s="1561"/>
    </row>
    <row r="31" spans="1:26" ht="17.100000000000001" customHeight="1">
      <c r="A31" s="914" t="s">
        <v>1082</v>
      </c>
      <c r="B31" s="914"/>
      <c r="C31" s="914"/>
      <c r="D31" s="914"/>
      <c r="E31" s="914"/>
      <c r="F31" s="914"/>
      <c r="G31" s="914"/>
      <c r="H31" s="914"/>
      <c r="I31" s="919"/>
      <c r="J31" s="914"/>
      <c r="K31" s="914"/>
      <c r="L31" s="914"/>
      <c r="M31" s="1572">
        <f ca="1">'11.0시중노임'!F6</f>
        <v>68965</v>
      </c>
      <c r="N31" s="1573"/>
      <c r="O31" s="1560"/>
      <c r="P31" s="1560"/>
      <c r="Q31" s="1560"/>
      <c r="R31" s="1560"/>
      <c r="S31" s="1560"/>
      <c r="T31" s="1560"/>
      <c r="U31" s="1560"/>
      <c r="V31" s="1560"/>
      <c r="W31" s="1560"/>
      <c r="X31" s="1560"/>
      <c r="Y31" s="1560"/>
      <c r="Z31" s="1561"/>
    </row>
    <row r="32" spans="1:26" ht="17.100000000000001" customHeight="1">
      <c r="A32" s="913"/>
      <c r="B32" s="914"/>
      <c r="C32" s="914"/>
      <c r="D32" s="914"/>
      <c r="E32" s="914"/>
      <c r="F32" s="914"/>
      <c r="G32" s="914"/>
      <c r="H32" s="914"/>
      <c r="I32" s="919" t="s">
        <v>1052</v>
      </c>
      <c r="J32" s="1571">
        <f>ROUND((((0.24+0.19)/2/10)+(7.6/100))/((25+50)/2)*M31,1)</f>
        <v>179.3</v>
      </c>
      <c r="K32" s="1571"/>
      <c r="L32" s="1571"/>
      <c r="M32" s="914"/>
      <c r="N32" s="914"/>
      <c r="O32" s="1560"/>
      <c r="P32" s="1560"/>
      <c r="Q32" s="1560"/>
      <c r="R32" s="1569">
        <f>J32</f>
        <v>179.3</v>
      </c>
      <c r="S32" s="1560"/>
      <c r="T32" s="1560"/>
      <c r="U32" s="1560"/>
      <c r="V32" s="1560"/>
      <c r="W32" s="1560"/>
      <c r="X32" s="1560">
        <f>SUM(O32:W32)</f>
        <v>179.3</v>
      </c>
      <c r="Y32" s="1560"/>
      <c r="Z32" s="1561"/>
    </row>
    <row r="33" spans="1:26" ht="17.100000000000001" customHeight="1">
      <c r="A33" s="913"/>
      <c r="B33" s="914"/>
      <c r="C33" s="914"/>
      <c r="D33" s="914"/>
      <c r="E33" s="914"/>
      <c r="F33" s="914"/>
      <c r="G33" s="914"/>
      <c r="H33" s="914"/>
      <c r="I33" s="914"/>
      <c r="J33" s="914"/>
      <c r="K33" s="914"/>
      <c r="L33" s="914"/>
      <c r="M33" s="914"/>
      <c r="N33" s="914"/>
      <c r="O33" s="1560"/>
      <c r="P33" s="1560"/>
      <c r="Q33" s="1560"/>
      <c r="R33" s="1560"/>
      <c r="S33" s="1560"/>
      <c r="T33" s="1560"/>
      <c r="U33" s="1560"/>
      <c r="V33" s="1560"/>
      <c r="W33" s="1560"/>
      <c r="X33" s="1560"/>
      <c r="Y33" s="1560"/>
      <c r="Z33" s="1561"/>
    </row>
    <row r="34" spans="1:26" ht="17.100000000000001" customHeight="1">
      <c r="A34" s="913"/>
      <c r="B34" s="914"/>
      <c r="C34" s="914"/>
      <c r="D34" s="914"/>
      <c r="E34" s="914"/>
      <c r="F34" s="914"/>
      <c r="G34" s="914"/>
      <c r="H34" s="914"/>
      <c r="I34" s="914"/>
      <c r="J34" s="914"/>
      <c r="K34" s="914"/>
      <c r="L34" s="914"/>
      <c r="M34" s="914"/>
      <c r="N34" s="914"/>
      <c r="O34" s="1560"/>
      <c r="P34" s="1560"/>
      <c r="Q34" s="1560"/>
      <c r="R34" s="1560"/>
      <c r="S34" s="1560"/>
      <c r="T34" s="1560"/>
      <c r="U34" s="1560"/>
      <c r="V34" s="1560"/>
      <c r="W34" s="1560"/>
      <c r="X34" s="1560"/>
      <c r="Y34" s="1560"/>
      <c r="Z34" s="1561"/>
    </row>
    <row r="35" spans="1:26" ht="17.100000000000001" customHeight="1">
      <c r="A35" s="913"/>
      <c r="B35" s="914"/>
      <c r="C35" s="914"/>
      <c r="D35" s="914"/>
      <c r="E35" s="914"/>
      <c r="F35" s="914"/>
      <c r="G35" s="914"/>
      <c r="H35" s="914"/>
      <c r="I35" s="914"/>
      <c r="J35" s="914"/>
      <c r="K35" s="914"/>
      <c r="L35" s="914"/>
      <c r="M35" s="914"/>
      <c r="N35" s="914"/>
      <c r="O35" s="1560"/>
      <c r="P35" s="1560"/>
      <c r="Q35" s="1560"/>
      <c r="R35" s="1560"/>
      <c r="S35" s="1560"/>
      <c r="T35" s="1560"/>
      <c r="U35" s="1560"/>
      <c r="V35" s="1560"/>
      <c r="W35" s="1560"/>
      <c r="X35" s="1560"/>
      <c r="Y35" s="1560"/>
      <c r="Z35" s="1561"/>
    </row>
    <row r="36" spans="1:26" ht="17.100000000000001" customHeight="1">
      <c r="A36" s="913"/>
      <c r="B36" s="914"/>
      <c r="C36" s="914"/>
      <c r="D36" s="914"/>
      <c r="E36" s="914"/>
      <c r="F36" s="914"/>
      <c r="G36" s="914"/>
      <c r="H36" s="914"/>
      <c r="I36" s="914"/>
      <c r="J36" s="914"/>
      <c r="K36" s="914"/>
      <c r="L36" s="914"/>
      <c r="M36" s="914"/>
      <c r="N36" s="914"/>
      <c r="O36" s="1560"/>
      <c r="P36" s="1560"/>
      <c r="Q36" s="1560"/>
      <c r="R36" s="1560"/>
      <c r="S36" s="1560"/>
      <c r="T36" s="1560"/>
      <c r="U36" s="1560"/>
      <c r="V36" s="1560"/>
      <c r="W36" s="1560"/>
      <c r="X36" s="1560"/>
      <c r="Y36" s="1560"/>
      <c r="Z36" s="1561"/>
    </row>
    <row r="37" spans="1:26" ht="17.100000000000001" customHeight="1">
      <c r="A37" s="913"/>
      <c r="B37" s="914"/>
      <c r="C37" s="914"/>
      <c r="D37" s="914"/>
      <c r="E37" s="914"/>
      <c r="F37" s="914"/>
      <c r="G37" s="914"/>
      <c r="H37" s="914"/>
      <c r="I37" s="914"/>
      <c r="J37" s="914"/>
      <c r="K37" s="914"/>
      <c r="L37" s="914"/>
      <c r="M37" s="914"/>
      <c r="N37" s="914"/>
      <c r="O37" s="1560"/>
      <c r="P37" s="1560"/>
      <c r="Q37" s="1560"/>
      <c r="R37" s="1560"/>
      <c r="S37" s="1560"/>
      <c r="T37" s="1560"/>
      <c r="U37" s="1560"/>
      <c r="V37" s="1560"/>
      <c r="W37" s="1560"/>
      <c r="X37" s="1560"/>
      <c r="Y37" s="1560"/>
      <c r="Z37" s="1561"/>
    </row>
    <row r="38" spans="1:26" ht="17.100000000000001" customHeight="1">
      <c r="A38" s="913"/>
      <c r="B38" s="914"/>
      <c r="C38" s="914"/>
      <c r="D38" s="914"/>
      <c r="E38" s="914"/>
      <c r="F38" s="914"/>
      <c r="G38" s="914"/>
      <c r="H38" s="914"/>
      <c r="I38" s="914"/>
      <c r="J38" s="914"/>
      <c r="K38" s="914"/>
      <c r="L38" s="914"/>
      <c r="M38" s="914"/>
      <c r="N38" s="914"/>
      <c r="O38" s="1560"/>
      <c r="P38" s="1560"/>
      <c r="Q38" s="1560"/>
      <c r="R38" s="1560"/>
      <c r="S38" s="1560"/>
      <c r="T38" s="1560"/>
      <c r="U38" s="1560"/>
      <c r="V38" s="1560"/>
      <c r="W38" s="1560"/>
      <c r="X38" s="1560"/>
      <c r="Y38" s="1560"/>
      <c r="Z38" s="1561"/>
    </row>
    <row r="39" spans="1:26" ht="17.100000000000001" customHeight="1">
      <c r="A39" s="913"/>
      <c r="B39" s="914"/>
      <c r="C39" s="914"/>
      <c r="D39" s="914"/>
      <c r="E39" s="914"/>
      <c r="F39" s="914"/>
      <c r="G39" s="914"/>
      <c r="H39" s="914"/>
      <c r="I39" s="914"/>
      <c r="J39" s="914"/>
      <c r="K39" s="914"/>
      <c r="L39" s="914"/>
      <c r="M39" s="914"/>
      <c r="N39" s="914"/>
      <c r="O39" s="1560"/>
      <c r="P39" s="1560"/>
      <c r="Q39" s="1560"/>
      <c r="R39" s="1560"/>
      <c r="S39" s="1560"/>
      <c r="T39" s="1560"/>
      <c r="U39" s="1560"/>
      <c r="V39" s="1560"/>
      <c r="W39" s="1560"/>
      <c r="X39" s="1560"/>
      <c r="Y39" s="1560"/>
      <c r="Z39" s="1561"/>
    </row>
    <row r="40" spans="1:26" ht="17.100000000000001" customHeight="1">
      <c r="A40" s="913"/>
      <c r="B40" s="914"/>
      <c r="C40" s="914"/>
      <c r="D40" s="914"/>
      <c r="E40" s="914"/>
      <c r="F40" s="914"/>
      <c r="G40" s="914"/>
      <c r="H40" s="914"/>
      <c r="I40" s="914"/>
      <c r="J40" s="914"/>
      <c r="K40" s="914"/>
      <c r="L40" s="914"/>
      <c r="M40" s="914"/>
      <c r="N40" s="914"/>
      <c r="O40" s="1560"/>
      <c r="P40" s="1560"/>
      <c r="Q40" s="1560"/>
      <c r="R40" s="1560"/>
      <c r="S40" s="1560"/>
      <c r="T40" s="1560"/>
      <c r="U40" s="1560"/>
      <c r="V40" s="1560"/>
      <c r="W40" s="1560"/>
      <c r="X40" s="1560"/>
      <c r="Y40" s="1560"/>
      <c r="Z40" s="1561"/>
    </row>
    <row r="41" spans="1:26" ht="17.100000000000001" customHeight="1">
      <c r="A41" s="923"/>
      <c r="B41" s="924" t="s">
        <v>751</v>
      </c>
      <c r="C41" s="924"/>
      <c r="D41" s="924"/>
      <c r="E41" s="924"/>
      <c r="F41" s="924"/>
      <c r="G41" s="924"/>
      <c r="H41" s="924"/>
      <c r="I41" s="924"/>
      <c r="J41" s="924"/>
      <c r="K41" s="924"/>
      <c r="L41" s="924"/>
      <c r="M41" s="924"/>
      <c r="N41" s="924"/>
      <c r="O41" s="1570">
        <f>INT(SUM(O5:Q40))</f>
        <v>2662</v>
      </c>
      <c r="P41" s="1570"/>
      <c r="Q41" s="1570"/>
      <c r="R41" s="1570">
        <f>INT(SUM(R5:T40))</f>
        <v>7317</v>
      </c>
      <c r="S41" s="1570"/>
      <c r="T41" s="1570"/>
      <c r="U41" s="1570">
        <f>SUM(U5:W40)</f>
        <v>0</v>
      </c>
      <c r="V41" s="1570"/>
      <c r="W41" s="1570"/>
      <c r="X41" s="1570">
        <f>INT(SUM(X5:Z40))</f>
        <v>9979</v>
      </c>
      <c r="Y41" s="1570"/>
      <c r="Z41" s="1574"/>
    </row>
  </sheetData>
  <mergeCells count="180">
    <mergeCell ref="A7:B7"/>
    <mergeCell ref="G7:H7"/>
    <mergeCell ref="A2:N2"/>
    <mergeCell ref="O2:Q2"/>
    <mergeCell ref="O5:Q5"/>
    <mergeCell ref="O6:Q6"/>
    <mergeCell ref="J7:L7"/>
    <mergeCell ref="A1:Z1"/>
    <mergeCell ref="J12:K12"/>
    <mergeCell ref="O12:Q12"/>
    <mergeCell ref="U2:W2"/>
    <mergeCell ref="J11:K11"/>
    <mergeCell ref="X6:Z6"/>
    <mergeCell ref="X7:Z7"/>
    <mergeCell ref="X10:Z10"/>
    <mergeCell ref="X8:Z8"/>
    <mergeCell ref="O11:Q11"/>
    <mergeCell ref="X2:Z2"/>
    <mergeCell ref="O3:Q3"/>
    <mergeCell ref="U11:W11"/>
    <mergeCell ref="R5:T5"/>
    <mergeCell ref="U5:W5"/>
    <mergeCell ref="X3:Z3"/>
    <mergeCell ref="U4:W4"/>
    <mergeCell ref="R2:T2"/>
    <mergeCell ref="R4:T4"/>
    <mergeCell ref="R3:T3"/>
    <mergeCell ref="U3:W3"/>
    <mergeCell ref="X9:Z9"/>
    <mergeCell ref="X11:Z11"/>
    <mergeCell ref="R7:T7"/>
    <mergeCell ref="R6:T6"/>
    <mergeCell ref="X5:Z5"/>
    <mergeCell ref="R11:T11"/>
    <mergeCell ref="U7:W7"/>
    <mergeCell ref="R10:T10"/>
    <mergeCell ref="U6:W6"/>
    <mergeCell ref="O7:Q7"/>
    <mergeCell ref="O4:Q4"/>
    <mergeCell ref="X15:Z15"/>
    <mergeCell ref="O15:Q15"/>
    <mergeCell ref="R15:T15"/>
    <mergeCell ref="U15:W15"/>
    <mergeCell ref="O10:Q10"/>
    <mergeCell ref="U10:W10"/>
    <mergeCell ref="X4:Z4"/>
    <mergeCell ref="O8:Q8"/>
    <mergeCell ref="R9:T9"/>
    <mergeCell ref="O9:Q9"/>
    <mergeCell ref="U9:W9"/>
    <mergeCell ref="R8:T8"/>
    <mergeCell ref="U8:W8"/>
    <mergeCell ref="X23:Z23"/>
    <mergeCell ref="X22:Z22"/>
    <mergeCell ref="O22:Q22"/>
    <mergeCell ref="R22:T22"/>
    <mergeCell ref="U22:W22"/>
    <mergeCell ref="O23:Q23"/>
    <mergeCell ref="U12:W12"/>
    <mergeCell ref="X21:Z21"/>
    <mergeCell ref="U16:W16"/>
    <mergeCell ref="U14:W14"/>
    <mergeCell ref="X16:Z16"/>
    <mergeCell ref="X14:Z14"/>
    <mergeCell ref="X18:Z18"/>
    <mergeCell ref="X19:Z19"/>
    <mergeCell ref="X20:Z20"/>
    <mergeCell ref="X17:Z17"/>
    <mergeCell ref="X25:Z25"/>
    <mergeCell ref="U25:W25"/>
    <mergeCell ref="O25:Q25"/>
    <mergeCell ref="R25:T25"/>
    <mergeCell ref="X13:Z13"/>
    <mergeCell ref="X12:Z12"/>
    <mergeCell ref="R12:T12"/>
    <mergeCell ref="O13:Q13"/>
    <mergeCell ref="R13:T13"/>
    <mergeCell ref="U13:W13"/>
    <mergeCell ref="U20:W20"/>
    <mergeCell ref="O19:Q19"/>
    <mergeCell ref="O27:Q27"/>
    <mergeCell ref="R19:T19"/>
    <mergeCell ref="U19:W19"/>
    <mergeCell ref="U23:W23"/>
    <mergeCell ref="O26:Q26"/>
    <mergeCell ref="R26:T26"/>
    <mergeCell ref="O24:Q24"/>
    <mergeCell ref="R24:T24"/>
    <mergeCell ref="U29:W29"/>
    <mergeCell ref="U30:W30"/>
    <mergeCell ref="O18:Q18"/>
    <mergeCell ref="R18:T18"/>
    <mergeCell ref="U18:W18"/>
    <mergeCell ref="U21:W21"/>
    <mergeCell ref="O21:Q21"/>
    <mergeCell ref="R21:T21"/>
    <mergeCell ref="O20:Q20"/>
    <mergeCell ref="R20:T20"/>
    <mergeCell ref="R33:T33"/>
    <mergeCell ref="U33:W33"/>
    <mergeCell ref="U41:W41"/>
    <mergeCell ref="X41:Z41"/>
    <mergeCell ref="X27:Z27"/>
    <mergeCell ref="R39:T39"/>
    <mergeCell ref="U39:W39"/>
    <mergeCell ref="R27:T27"/>
    <mergeCell ref="X28:Z28"/>
    <mergeCell ref="U28:W28"/>
    <mergeCell ref="R32:T32"/>
    <mergeCell ref="U32:W32"/>
    <mergeCell ref="O34:Q34"/>
    <mergeCell ref="O39:Q39"/>
    <mergeCell ref="R34:T34"/>
    <mergeCell ref="X33:Z33"/>
    <mergeCell ref="U38:W38"/>
    <mergeCell ref="X37:Z37"/>
    <mergeCell ref="X36:Z36"/>
    <mergeCell ref="X39:Z39"/>
    <mergeCell ref="O37:Q37"/>
    <mergeCell ref="R36:T36"/>
    <mergeCell ref="X26:Z26"/>
    <mergeCell ref="U26:W26"/>
    <mergeCell ref="U24:W24"/>
    <mergeCell ref="U34:W34"/>
    <mergeCell ref="X29:Z29"/>
    <mergeCell ref="X24:Z24"/>
    <mergeCell ref="R29:T29"/>
    <mergeCell ref="O32:Q32"/>
    <mergeCell ref="X32:Z32"/>
    <mergeCell ref="X30:Z30"/>
    <mergeCell ref="X31:Z31"/>
    <mergeCell ref="R37:T37"/>
    <mergeCell ref="U36:W36"/>
    <mergeCell ref="O40:Q40"/>
    <mergeCell ref="R40:T40"/>
    <mergeCell ref="U40:W40"/>
    <mergeCell ref="O38:Q38"/>
    <mergeCell ref="O36:Q36"/>
    <mergeCell ref="U35:W35"/>
    <mergeCell ref="X35:Z35"/>
    <mergeCell ref="X38:Z38"/>
    <mergeCell ref="X34:Z34"/>
    <mergeCell ref="U37:W37"/>
    <mergeCell ref="X40:Z40"/>
    <mergeCell ref="O33:Q33"/>
    <mergeCell ref="O29:Q29"/>
    <mergeCell ref="U31:W31"/>
    <mergeCell ref="J15:K15"/>
    <mergeCell ref="R17:T17"/>
    <mergeCell ref="R23:T23"/>
    <mergeCell ref="U27:W27"/>
    <mergeCell ref="U17:W17"/>
    <mergeCell ref="J32:L32"/>
    <mergeCell ref="O30:Q30"/>
    <mergeCell ref="J13:K13"/>
    <mergeCell ref="J19:L19"/>
    <mergeCell ref="J14:K14"/>
    <mergeCell ref="M31:N31"/>
    <mergeCell ref="J26:L26"/>
    <mergeCell ref="J27:L27"/>
    <mergeCell ref="R14:T14"/>
    <mergeCell ref="J18:L18"/>
    <mergeCell ref="J17:K17"/>
    <mergeCell ref="J23:L23"/>
    <mergeCell ref="O17:Q17"/>
    <mergeCell ref="J16:K16"/>
    <mergeCell ref="I22:K22"/>
    <mergeCell ref="O14:Q14"/>
    <mergeCell ref="O16:Q16"/>
    <mergeCell ref="R16:T16"/>
    <mergeCell ref="O41:Q41"/>
    <mergeCell ref="R41:T41"/>
    <mergeCell ref="O28:Q28"/>
    <mergeCell ref="R28:T28"/>
    <mergeCell ref="R38:T38"/>
    <mergeCell ref="O35:Q35"/>
    <mergeCell ref="R35:T35"/>
    <mergeCell ref="R31:T31"/>
    <mergeCell ref="R30:T30"/>
    <mergeCell ref="O31:Q3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7" orientation="portrait" horizont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S43"/>
  <sheetViews>
    <sheetView view="pageBreakPreview" zoomScale="75" zoomScaleSheetLayoutView="75" workbookViewId="0">
      <selection activeCell="A7" sqref="A7:S7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2195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A7:S7"/>
    <mergeCell ref="F22:G22"/>
    <mergeCell ref="D20:E20"/>
    <mergeCell ref="F20:H20"/>
    <mergeCell ref="I20:K20"/>
    <mergeCell ref="L20:O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3"/>
  <sheetViews>
    <sheetView view="pageBreakPreview" workbookViewId="0">
      <selection activeCell="L17" sqref="L17"/>
    </sheetView>
  </sheetViews>
  <sheetFormatPr defaultRowHeight="13.5"/>
  <cols>
    <col min="1" max="1" width="4.44140625" style="645" customWidth="1"/>
    <col min="2" max="2" width="9.88671875" style="645" customWidth="1"/>
    <col min="3" max="3" width="10.88671875" style="645" customWidth="1"/>
    <col min="4" max="4" width="6.6640625" style="645" customWidth="1"/>
    <col min="5" max="5" width="6.33203125" style="645" customWidth="1"/>
    <col min="6" max="6" width="8.5546875" style="645" customWidth="1"/>
    <col min="7" max="7" width="8.6640625" style="645" customWidth="1"/>
    <col min="8" max="8" width="7" style="645" customWidth="1"/>
    <col min="9" max="9" width="8.109375" style="645" customWidth="1"/>
    <col min="10" max="10" width="6.5546875" style="645" customWidth="1"/>
    <col min="11" max="11" width="6.88671875" style="645" customWidth="1"/>
    <col min="12" max="13" width="7.33203125" style="645" customWidth="1"/>
    <col min="14" max="14" width="10.6640625" style="645" customWidth="1"/>
    <col min="15" max="16384" width="8.88671875" style="645"/>
  </cols>
  <sheetData>
    <row r="1" spans="1:14" s="628" customFormat="1" ht="33.75" customHeight="1">
      <c r="B1" s="1588" t="s">
        <v>2225</v>
      </c>
      <c r="C1" s="1588"/>
      <c r="D1" s="1588"/>
      <c r="E1" s="1588"/>
      <c r="F1" s="1588"/>
      <c r="G1" s="1588"/>
      <c r="H1" s="1588"/>
      <c r="I1" s="1588"/>
      <c r="J1" s="1588"/>
      <c r="K1" s="1588"/>
      <c r="L1" s="1588"/>
      <c r="M1" s="1588"/>
    </row>
    <row r="2" spans="1:14" s="629" customFormat="1" ht="24.75" customHeight="1">
      <c r="B2" s="630"/>
      <c r="C2" s="630"/>
      <c r="D2" s="630"/>
      <c r="E2" s="630"/>
      <c r="F2" s="630"/>
      <c r="I2" s="630"/>
      <c r="J2" s="631" t="s">
        <v>2226</v>
      </c>
      <c r="L2" s="632"/>
    </row>
    <row r="3" spans="1:14" s="629" customFormat="1" ht="15" customHeight="1">
      <c r="B3" s="1589"/>
      <c r="C3" s="1589"/>
      <c r="D3" s="633" t="s">
        <v>2227</v>
      </c>
      <c r="I3" s="630"/>
      <c r="J3" s="634" t="s">
        <v>2228</v>
      </c>
      <c r="L3" s="635"/>
    </row>
    <row r="4" spans="1:14" s="629" customFormat="1" ht="15" customHeight="1">
      <c r="B4" s="1590" t="s">
        <v>2229</v>
      </c>
      <c r="C4" s="1590"/>
      <c r="D4" s="1590"/>
      <c r="E4" s="1590"/>
      <c r="F4" s="635"/>
      <c r="I4" s="630"/>
      <c r="J4" s="636" t="s">
        <v>2230</v>
      </c>
      <c r="L4" s="630"/>
    </row>
    <row r="5" spans="1:14" s="629" customFormat="1" ht="15" customHeight="1">
      <c r="B5" s="1591"/>
      <c r="C5" s="1591"/>
      <c r="D5" s="1591"/>
      <c r="E5" s="1591"/>
      <c r="F5" s="635"/>
      <c r="I5" s="630"/>
      <c r="J5" s="636" t="s">
        <v>2231</v>
      </c>
      <c r="L5" s="630"/>
    </row>
    <row r="6" spans="1:14" s="629" customFormat="1" ht="15" customHeight="1">
      <c r="B6" s="1590" t="s">
        <v>2232</v>
      </c>
      <c r="C6" s="1590"/>
      <c r="D6" s="1590"/>
      <c r="E6" s="1590"/>
      <c r="F6" s="1590"/>
      <c r="G6" s="1590"/>
      <c r="H6" s="635"/>
      <c r="I6" s="630"/>
      <c r="J6" s="634" t="s">
        <v>2233</v>
      </c>
      <c r="L6" s="635"/>
    </row>
    <row r="7" spans="1:14" s="629" customFormat="1" ht="15" customHeight="1">
      <c r="B7" s="1591"/>
      <c r="C7" s="1591"/>
      <c r="D7" s="1591"/>
      <c r="E7" s="1591"/>
      <c r="F7" s="1591"/>
      <c r="G7" s="1591"/>
      <c r="H7" s="635"/>
      <c r="I7" s="630"/>
      <c r="J7" s="636" t="s">
        <v>2234</v>
      </c>
      <c r="L7" s="637"/>
    </row>
    <row r="8" spans="1:14" s="629" customFormat="1" ht="15" customHeight="1">
      <c r="B8" s="1586"/>
      <c r="C8" s="1587"/>
      <c r="D8" s="1587"/>
      <c r="E8" s="639"/>
      <c r="F8" s="639"/>
      <c r="I8" s="630"/>
      <c r="J8" s="636" t="s">
        <v>2235</v>
      </c>
      <c r="L8" s="637"/>
    </row>
    <row r="9" spans="1:14" s="629" customFormat="1" ht="15" customHeight="1">
      <c r="B9" s="640" t="s">
        <v>2236</v>
      </c>
      <c r="C9" s="638"/>
      <c r="D9" s="638"/>
      <c r="E9" s="639"/>
      <c r="F9" s="639"/>
      <c r="I9" s="630"/>
      <c r="J9" s="641" t="s">
        <v>2237</v>
      </c>
      <c r="K9" s="642"/>
      <c r="L9" s="642"/>
      <c r="M9" s="642"/>
    </row>
    <row r="10" spans="1:14" s="643" customFormat="1" ht="21" customHeight="1">
      <c r="B10" s="644" t="s">
        <v>2238</v>
      </c>
    </row>
    <row r="11" spans="1:14" ht="7.5" customHeight="1"/>
    <row r="12" spans="1:14" s="646" customFormat="1" ht="21" customHeight="1">
      <c r="A12" s="1583" t="s">
        <v>2239</v>
      </c>
      <c r="B12" s="1583" t="s">
        <v>2240</v>
      </c>
      <c r="C12" s="1583" t="s">
        <v>2241</v>
      </c>
      <c r="D12" s="1583" t="s">
        <v>2242</v>
      </c>
      <c r="E12" s="1583" t="s">
        <v>2243</v>
      </c>
      <c r="F12" s="1584" t="s">
        <v>2244</v>
      </c>
      <c r="G12" s="1585"/>
      <c r="H12" s="1584" t="s">
        <v>2245</v>
      </c>
      <c r="I12" s="1585"/>
      <c r="J12" s="1584" t="s">
        <v>2246</v>
      </c>
      <c r="K12" s="1585"/>
      <c r="L12" s="1584" t="s">
        <v>2247</v>
      </c>
      <c r="M12" s="1585"/>
      <c r="N12" s="1583" t="s">
        <v>2248</v>
      </c>
    </row>
    <row r="13" spans="1:14" s="646" customFormat="1" ht="21" customHeight="1">
      <c r="A13" s="1583"/>
      <c r="B13" s="1583"/>
      <c r="C13" s="1583"/>
      <c r="D13" s="1583"/>
      <c r="E13" s="1583"/>
      <c r="F13" s="647" t="s">
        <v>2249</v>
      </c>
      <c r="G13" s="648" t="s">
        <v>2250</v>
      </c>
      <c r="H13" s="647" t="s">
        <v>2249</v>
      </c>
      <c r="I13" s="648" t="s">
        <v>2250</v>
      </c>
      <c r="J13" s="647" t="s">
        <v>2249</v>
      </c>
      <c r="K13" s="648" t="s">
        <v>2250</v>
      </c>
      <c r="L13" s="647" t="s">
        <v>2249</v>
      </c>
      <c r="M13" s="648" t="s">
        <v>2250</v>
      </c>
      <c r="N13" s="1583"/>
    </row>
    <row r="14" spans="1:14" s="653" customFormat="1" ht="24.75" customHeight="1">
      <c r="A14" s="649">
        <v>1</v>
      </c>
      <c r="B14" s="650" t="s">
        <v>2251</v>
      </c>
      <c r="C14" s="650"/>
      <c r="D14" s="651"/>
      <c r="E14" s="649"/>
      <c r="F14" s="649"/>
      <c r="G14" s="652"/>
      <c r="H14" s="652"/>
      <c r="I14" s="652"/>
      <c r="J14" s="652"/>
      <c r="K14" s="652"/>
      <c r="L14" s="652"/>
      <c r="M14" s="652"/>
      <c r="N14" s="652"/>
    </row>
    <row r="15" spans="1:14" s="653" customFormat="1" ht="24.75" customHeight="1">
      <c r="A15" s="654" t="s">
        <v>2252</v>
      </c>
      <c r="B15" s="655" t="s">
        <v>2253</v>
      </c>
      <c r="C15" s="656" t="s">
        <v>2254</v>
      </c>
      <c r="D15" s="657">
        <v>1</v>
      </c>
      <c r="E15" s="656" t="s">
        <v>2255</v>
      </c>
      <c r="F15" s="658">
        <f>H15+J15+L15</f>
        <v>5773.0839999999998</v>
      </c>
      <c r="G15" s="659">
        <f>D15*F15</f>
        <v>5773.0839999999998</v>
      </c>
      <c r="H15" s="659">
        <f ca="1">+'005-이지그린매트(A Type)'!H16</f>
        <v>3966.0000000000005</v>
      </c>
      <c r="I15" s="659">
        <f ca="1">D15*H15</f>
        <v>3966.0000000000005</v>
      </c>
      <c r="J15" s="659">
        <f ca="1">+'005-이지그린매트(A Type)'!J16</f>
        <v>1502.8119999999999</v>
      </c>
      <c r="K15" s="659">
        <f ca="1">D15*J15</f>
        <v>1502.8119999999999</v>
      </c>
      <c r="L15" s="659">
        <f ca="1">+'005-이지그린매트(A Type)'!L16</f>
        <v>304.27199999999999</v>
      </c>
      <c r="M15" s="659">
        <f>D15*L15</f>
        <v>304.27199999999999</v>
      </c>
      <c r="N15" s="660" t="s">
        <v>2256</v>
      </c>
    </row>
    <row r="16" spans="1:14" s="653" customFormat="1" ht="24.75" customHeight="1">
      <c r="A16" s="654" t="s">
        <v>2257</v>
      </c>
      <c r="B16" s="655" t="s">
        <v>2253</v>
      </c>
      <c r="C16" s="656" t="s">
        <v>2258</v>
      </c>
      <c r="D16" s="657">
        <v>1</v>
      </c>
      <c r="E16" s="656" t="s">
        <v>2255</v>
      </c>
      <c r="F16" s="658">
        <f>H16+J16+L16</f>
        <v>7973.0839999999998</v>
      </c>
      <c r="G16" s="659">
        <f>D16*F16</f>
        <v>7973.0839999999998</v>
      </c>
      <c r="H16" s="659">
        <f ca="1">'006-이지그린매트(B Type)'!H16</f>
        <v>6166</v>
      </c>
      <c r="I16" s="659">
        <f ca="1">D16*H16</f>
        <v>6166</v>
      </c>
      <c r="J16" s="659">
        <f ca="1">'006-이지그린매트(B Type)'!J16</f>
        <v>1502.8119999999999</v>
      </c>
      <c r="K16" s="659">
        <f ca="1">D16*J16</f>
        <v>1502.8119999999999</v>
      </c>
      <c r="L16" s="659">
        <f ca="1">'006-이지그린매트(B Type)'!L16</f>
        <v>304.27199999999999</v>
      </c>
      <c r="M16" s="659">
        <f>D16*L16</f>
        <v>304.27199999999999</v>
      </c>
      <c r="N16" s="659"/>
    </row>
    <row r="17" spans="1:14" s="653" customFormat="1" ht="24.75" customHeight="1">
      <c r="A17" s="654" t="s">
        <v>2259</v>
      </c>
      <c r="B17" s="655" t="s">
        <v>2253</v>
      </c>
      <c r="C17" s="656" t="s">
        <v>2260</v>
      </c>
      <c r="D17" s="657">
        <v>1</v>
      </c>
      <c r="E17" s="656" t="s">
        <v>2255</v>
      </c>
      <c r="F17" s="658">
        <f>H17+J17+L17</f>
        <v>11273.084000000001</v>
      </c>
      <c r="G17" s="659">
        <f>D17*F17</f>
        <v>11273.084000000001</v>
      </c>
      <c r="H17" s="659">
        <f ca="1">+'007-이지그린매트(C Type)'!H16</f>
        <v>9466</v>
      </c>
      <c r="I17" s="659">
        <f ca="1">D17*H17</f>
        <v>9466</v>
      </c>
      <c r="J17" s="659">
        <f ca="1">+'007-이지그린매트(C Type)'!J16</f>
        <v>1502.8119999999999</v>
      </c>
      <c r="K17" s="659">
        <f ca="1">D17*J17</f>
        <v>1502.8119999999999</v>
      </c>
      <c r="L17" s="659">
        <f ca="1">+'007-이지그린매트(C Type)'!L16</f>
        <v>304.27199999999999</v>
      </c>
      <c r="M17" s="659">
        <f>D17*L17</f>
        <v>304.27199999999999</v>
      </c>
      <c r="N17" s="659"/>
    </row>
    <row r="18" spans="1:14" s="653" customFormat="1" ht="24.75" customHeight="1">
      <c r="A18" s="661"/>
      <c r="B18" s="656"/>
      <c r="C18" s="656"/>
      <c r="D18" s="657"/>
      <c r="E18" s="656"/>
      <c r="F18" s="658"/>
      <c r="G18" s="659"/>
      <c r="H18" s="659"/>
      <c r="I18" s="659"/>
      <c r="J18" s="662"/>
      <c r="K18" s="659"/>
      <c r="L18" s="659"/>
      <c r="M18" s="659"/>
      <c r="N18" s="659"/>
    </row>
    <row r="19" spans="1:14" s="653" customFormat="1" ht="24.75" customHeight="1">
      <c r="A19" s="661"/>
      <c r="B19" s="656"/>
      <c r="C19" s="656"/>
      <c r="D19" s="663"/>
      <c r="E19" s="656"/>
      <c r="F19" s="656"/>
      <c r="G19" s="659"/>
      <c r="H19" s="659"/>
      <c r="I19" s="659"/>
      <c r="J19" s="659"/>
      <c r="K19" s="659"/>
      <c r="L19" s="659"/>
      <c r="M19" s="659"/>
      <c r="N19" s="659"/>
    </row>
    <row r="20" spans="1:14" s="653" customFormat="1" ht="24.75" customHeight="1">
      <c r="A20" s="664"/>
      <c r="B20" s="616" t="s">
        <v>2261</v>
      </c>
      <c r="C20" s="654"/>
      <c r="D20" s="665"/>
      <c r="E20" s="654"/>
      <c r="F20" s="654"/>
      <c r="G20" s="659"/>
      <c r="H20" s="659"/>
      <c r="I20" s="659"/>
      <c r="J20" s="659"/>
      <c r="K20" s="659"/>
      <c r="L20" s="659"/>
      <c r="M20" s="659"/>
      <c r="N20" s="659"/>
    </row>
    <row r="21" spans="1:14" s="653" customFormat="1" ht="24.75" customHeight="1">
      <c r="A21" s="664"/>
      <c r="B21" s="661"/>
      <c r="C21" s="654"/>
      <c r="D21" s="665"/>
      <c r="E21" s="654"/>
      <c r="F21" s="654"/>
      <c r="G21" s="659"/>
      <c r="H21" s="659"/>
      <c r="I21" s="659"/>
      <c r="J21" s="659"/>
      <c r="K21" s="659"/>
      <c r="L21" s="659"/>
      <c r="M21" s="659"/>
      <c r="N21" s="659"/>
    </row>
    <row r="22" spans="1:14" s="653" customFormat="1" ht="24.75" customHeight="1">
      <c r="A22" s="664"/>
      <c r="B22" s="616"/>
      <c r="C22" s="654"/>
      <c r="D22" s="665"/>
      <c r="E22" s="654"/>
      <c r="F22" s="654"/>
      <c r="G22" s="659"/>
      <c r="H22" s="659"/>
      <c r="I22" s="659"/>
      <c r="J22" s="659"/>
      <c r="K22" s="659"/>
      <c r="L22" s="659"/>
      <c r="M22" s="659"/>
      <c r="N22" s="659"/>
    </row>
    <row r="23" spans="1:14" s="653" customFormat="1" ht="24.75" customHeight="1">
      <c r="A23" s="666"/>
      <c r="B23" s="666"/>
      <c r="C23" s="667"/>
      <c r="D23" s="668"/>
      <c r="E23" s="669"/>
      <c r="F23" s="669"/>
      <c r="G23" s="670"/>
      <c r="H23" s="670"/>
      <c r="I23" s="670"/>
      <c r="J23" s="670"/>
      <c r="K23" s="670"/>
      <c r="L23" s="670"/>
      <c r="M23" s="670"/>
      <c r="N23" s="670"/>
    </row>
  </sheetData>
  <mergeCells count="15">
    <mergeCell ref="B8:D8"/>
    <mergeCell ref="B1:M1"/>
    <mergeCell ref="B3:C3"/>
    <mergeCell ref="B4:E5"/>
    <mergeCell ref="B6:G7"/>
    <mergeCell ref="A12:A13"/>
    <mergeCell ref="B12:B13"/>
    <mergeCell ref="C12:C13"/>
    <mergeCell ref="D12:D13"/>
    <mergeCell ref="N12:N13"/>
    <mergeCell ref="E12:E13"/>
    <mergeCell ref="F12:G12"/>
    <mergeCell ref="H12:I12"/>
    <mergeCell ref="J12:K12"/>
    <mergeCell ref="L12:M12"/>
  </mergeCells>
  <phoneticPr fontId="3" type="noConversion"/>
  <printOptions horizontalCentered="1" verticalCentered="1"/>
  <pageMargins left="0.28999999999999998" right="0.35433070866141736" top="0.39370078740157483" bottom="0.39370078740157483" header="0.51181102362204722" footer="0.51181102362204722"/>
  <pageSetup paperSize="9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showGridLines="0" view="pageBreakPreview" workbookViewId="0">
      <selection activeCell="I12" sqref="I12"/>
    </sheetView>
  </sheetViews>
  <sheetFormatPr defaultColWidth="7.109375" defaultRowHeight="16.5" customHeight="1"/>
  <cols>
    <col min="1" max="1" width="12.21875" style="623" customWidth="1"/>
    <col min="2" max="2" width="10.88671875" style="624" customWidth="1"/>
    <col min="3" max="3" width="7.88671875" style="625" customWidth="1"/>
    <col min="4" max="4" width="4.44140625" style="625" customWidth="1"/>
    <col min="5" max="6" width="10" style="626" customWidth="1"/>
    <col min="7" max="7" width="8.88671875" style="626" customWidth="1"/>
    <col min="8" max="8" width="10" style="626" customWidth="1"/>
    <col min="9" max="9" width="8.88671875" style="626" customWidth="1"/>
    <col min="10" max="11" width="10" style="626" customWidth="1"/>
    <col min="12" max="12" width="9.6640625" style="626" customWidth="1"/>
    <col min="13" max="13" width="7.44140625" style="627" customWidth="1"/>
    <col min="14" max="16384" width="7.109375" style="578"/>
  </cols>
  <sheetData>
    <row r="1" spans="1:13" s="577" customFormat="1" ht="27" customHeight="1">
      <c r="A1" s="1598" t="s">
        <v>2262</v>
      </c>
      <c r="B1" s="1599"/>
      <c r="C1" s="1599"/>
      <c r="D1" s="1599"/>
      <c r="E1" s="1599"/>
      <c r="F1" s="1599"/>
      <c r="G1" s="1599"/>
      <c r="H1" s="1599"/>
      <c r="I1" s="1599"/>
      <c r="J1" s="1599"/>
      <c r="K1" s="1599"/>
      <c r="L1" s="1599"/>
      <c r="M1" s="1600"/>
    </row>
    <row r="2" spans="1:13" ht="22.5" customHeight="1">
      <c r="A2" s="1601" t="s">
        <v>2203</v>
      </c>
      <c r="B2" s="1603" t="s">
        <v>286</v>
      </c>
      <c r="C2" s="1603" t="s">
        <v>1115</v>
      </c>
      <c r="D2" s="1603" t="s">
        <v>288</v>
      </c>
      <c r="E2" s="1592" t="s">
        <v>2204</v>
      </c>
      <c r="F2" s="1593"/>
      <c r="G2" s="1592" t="s">
        <v>2205</v>
      </c>
      <c r="H2" s="1592"/>
      <c r="I2" s="1592" t="s">
        <v>2206</v>
      </c>
      <c r="J2" s="1592"/>
      <c r="K2" s="1592" t="s">
        <v>2207</v>
      </c>
      <c r="L2" s="1592"/>
      <c r="M2" s="1594" t="s">
        <v>1262</v>
      </c>
    </row>
    <row r="3" spans="1:13" ht="22.5" customHeight="1">
      <c r="A3" s="1602"/>
      <c r="B3" s="1604"/>
      <c r="C3" s="1604"/>
      <c r="D3" s="1604"/>
      <c r="E3" s="579" t="s">
        <v>2208</v>
      </c>
      <c r="F3" s="580" t="s">
        <v>2209</v>
      </c>
      <c r="G3" s="579" t="s">
        <v>2208</v>
      </c>
      <c r="H3" s="579" t="s">
        <v>2209</v>
      </c>
      <c r="I3" s="579" t="s">
        <v>2208</v>
      </c>
      <c r="J3" s="579" t="s">
        <v>2209</v>
      </c>
      <c r="K3" s="579" t="s">
        <v>2208</v>
      </c>
      <c r="L3" s="579" t="s">
        <v>2209</v>
      </c>
      <c r="M3" s="1595"/>
    </row>
    <row r="4" spans="1:13" ht="22.5" customHeight="1">
      <c r="A4" s="581" t="s">
        <v>2210</v>
      </c>
      <c r="B4" s="582"/>
      <c r="C4" s="583"/>
      <c r="D4" s="582"/>
      <c r="E4" s="582"/>
      <c r="F4" s="582"/>
      <c r="G4" s="582"/>
      <c r="H4" s="582"/>
      <c r="I4" s="582"/>
      <c r="J4" s="582"/>
      <c r="K4" s="582"/>
      <c r="L4" s="582"/>
      <c r="M4" s="584"/>
    </row>
    <row r="5" spans="1:13" ht="22.5" customHeight="1">
      <c r="A5" s="585" t="s">
        <v>2211</v>
      </c>
      <c r="B5" s="586"/>
      <c r="C5" s="587"/>
      <c r="D5" s="586"/>
      <c r="E5" s="588"/>
      <c r="F5" s="588"/>
      <c r="G5" s="588"/>
      <c r="H5" s="588"/>
      <c r="I5" s="588"/>
      <c r="J5" s="588"/>
      <c r="K5" s="588"/>
      <c r="L5" s="588"/>
      <c r="M5" s="589"/>
    </row>
    <row r="6" spans="1:13" ht="22.5" customHeight="1">
      <c r="A6" s="590" t="s">
        <v>2212</v>
      </c>
      <c r="B6" s="591" t="s">
        <v>2263</v>
      </c>
      <c r="C6" s="592">
        <v>1.1000000000000001</v>
      </c>
      <c r="D6" s="593" t="s">
        <v>2214</v>
      </c>
      <c r="E6" s="594">
        <f>+G6+I6+K6</f>
        <v>3000</v>
      </c>
      <c r="F6" s="594">
        <f>+C6*E6</f>
        <v>3300.0000000000005</v>
      </c>
      <c r="G6" s="595">
        <v>3000</v>
      </c>
      <c r="H6" s="594">
        <f>(G6*C6)</f>
        <v>3300.0000000000005</v>
      </c>
      <c r="I6" s="594"/>
      <c r="J6" s="594"/>
      <c r="K6" s="594"/>
      <c r="L6" s="594"/>
      <c r="M6" s="596"/>
    </row>
    <row r="7" spans="1:13" ht="22.5" customHeight="1">
      <c r="A7" s="590" t="s">
        <v>872</v>
      </c>
      <c r="B7" s="591" t="s">
        <v>2215</v>
      </c>
      <c r="C7" s="592">
        <v>1.42</v>
      </c>
      <c r="D7" s="593" t="s">
        <v>1166</v>
      </c>
      <c r="E7" s="594">
        <f>+G7+I7+K7</f>
        <v>300</v>
      </c>
      <c r="F7" s="594">
        <f>+C7*E7</f>
        <v>426</v>
      </c>
      <c r="G7" s="595">
        <v>300</v>
      </c>
      <c r="H7" s="594">
        <f>(G7*C7)</f>
        <v>426</v>
      </c>
      <c r="I7" s="594"/>
      <c r="J7" s="594"/>
      <c r="K7" s="594"/>
      <c r="L7" s="594"/>
      <c r="M7" s="596"/>
    </row>
    <row r="8" spans="1:13" ht="22.5" customHeight="1">
      <c r="A8" s="590" t="s">
        <v>2216</v>
      </c>
      <c r="B8" s="591"/>
      <c r="C8" s="592">
        <v>2.4</v>
      </c>
      <c r="D8" s="593" t="s">
        <v>741</v>
      </c>
      <c r="E8" s="594">
        <f>+G8+I8+K8</f>
        <v>100</v>
      </c>
      <c r="F8" s="594">
        <f>+C8*E8</f>
        <v>240</v>
      </c>
      <c r="G8" s="595">
        <v>100</v>
      </c>
      <c r="H8" s="594">
        <f>(G8*C8)</f>
        <v>240</v>
      </c>
      <c r="I8" s="594"/>
      <c r="J8" s="594"/>
      <c r="K8" s="594"/>
      <c r="L8" s="594"/>
      <c r="M8" s="596"/>
    </row>
    <row r="9" spans="1:13" ht="22.5" customHeight="1">
      <c r="A9" s="597" t="s">
        <v>2217</v>
      </c>
      <c r="B9" s="591"/>
      <c r="C9" s="592"/>
      <c r="D9" s="593"/>
      <c r="E9" s="594"/>
      <c r="F9" s="594">
        <f>SUM(F6:F8)</f>
        <v>3966.0000000000005</v>
      </c>
      <c r="G9" s="595"/>
      <c r="H9" s="594">
        <f>SUM(H6:H8)</f>
        <v>3966.0000000000005</v>
      </c>
      <c r="I9" s="594"/>
      <c r="J9" s="594">
        <f>SUM(J6:J8)</f>
        <v>0</v>
      </c>
      <c r="K9" s="594"/>
      <c r="L9" s="594">
        <f>SUM(L6:L8)</f>
        <v>0</v>
      </c>
      <c r="M9" s="589"/>
    </row>
    <row r="10" spans="1:13" ht="22.5" customHeight="1">
      <c r="A10" s="585" t="s">
        <v>2218</v>
      </c>
      <c r="B10" s="598"/>
      <c r="C10" s="599"/>
      <c r="D10" s="600"/>
      <c r="E10" s="594"/>
      <c r="F10" s="594"/>
      <c r="G10" s="594"/>
      <c r="H10" s="594"/>
      <c r="I10" s="594"/>
      <c r="J10" s="594"/>
      <c r="K10" s="594"/>
      <c r="L10" s="594"/>
      <c r="M10" s="589"/>
    </row>
    <row r="11" spans="1:13" ht="22.5" customHeight="1">
      <c r="A11" s="590" t="s">
        <v>971</v>
      </c>
      <c r="B11" s="598" t="s">
        <v>2219</v>
      </c>
      <c r="C11" s="601">
        <v>1.2E-2</v>
      </c>
      <c r="D11" s="602" t="s">
        <v>1221</v>
      </c>
      <c r="E11" s="594">
        <f>+G11+I11+K11</f>
        <v>68965</v>
      </c>
      <c r="F11" s="594">
        <f>+C11*E11</f>
        <v>827.58</v>
      </c>
      <c r="G11" s="603"/>
      <c r="H11" s="594"/>
      <c r="I11" s="594">
        <v>68965</v>
      </c>
      <c r="J11" s="594">
        <f>(I11*C11)</f>
        <v>827.58</v>
      </c>
      <c r="K11" s="594"/>
      <c r="L11" s="594"/>
      <c r="M11" s="589"/>
    </row>
    <row r="12" spans="1:13" ht="22.5" customHeight="1">
      <c r="A12" s="590" t="s">
        <v>967</v>
      </c>
      <c r="B12" s="598" t="s">
        <v>2219</v>
      </c>
      <c r="C12" s="604">
        <v>8.0000000000000002E-3</v>
      </c>
      <c r="D12" s="605" t="s">
        <v>1221</v>
      </c>
      <c r="E12" s="594">
        <f>+G12+I12+K12</f>
        <v>84404</v>
      </c>
      <c r="F12" s="594">
        <f>+C12*E12</f>
        <v>675.23199999999997</v>
      </c>
      <c r="G12" s="603"/>
      <c r="H12" s="594"/>
      <c r="I12" s="594">
        <v>84404</v>
      </c>
      <c r="J12" s="594">
        <f>(I12*C12)</f>
        <v>675.23199999999997</v>
      </c>
      <c r="K12" s="594"/>
      <c r="L12" s="594"/>
      <c r="M12" s="589"/>
    </row>
    <row r="13" spans="1:13" ht="22.5" customHeight="1">
      <c r="A13" s="590" t="s">
        <v>2220</v>
      </c>
      <c r="B13" s="606" t="s">
        <v>2221</v>
      </c>
      <c r="C13" s="604">
        <v>8.0000000000000002E-3</v>
      </c>
      <c r="D13" s="606" t="s">
        <v>1284</v>
      </c>
      <c r="E13" s="594">
        <f>+G13+I13+K13</f>
        <v>38034</v>
      </c>
      <c r="F13" s="594">
        <f>+C13*E13</f>
        <v>304.27199999999999</v>
      </c>
      <c r="G13" s="603"/>
      <c r="H13" s="594"/>
      <c r="I13" s="594"/>
      <c r="J13" s="594"/>
      <c r="K13" s="594">
        <v>38034</v>
      </c>
      <c r="L13" s="594">
        <f>C13*K13</f>
        <v>304.27199999999999</v>
      </c>
      <c r="M13" s="589"/>
    </row>
    <row r="14" spans="1:13" ht="22.5" customHeight="1">
      <c r="A14" s="607" t="s">
        <v>2217</v>
      </c>
      <c r="B14" s="600"/>
      <c r="C14" s="608"/>
      <c r="D14" s="609"/>
      <c r="E14" s="594"/>
      <c r="F14" s="594">
        <f>SUM(F11:F13)</f>
        <v>1807.0839999999998</v>
      </c>
      <c r="G14" s="594"/>
      <c r="H14" s="594">
        <f>SUM(H11:H13)</f>
        <v>0</v>
      </c>
      <c r="I14" s="610"/>
      <c r="J14" s="594">
        <f>SUM(J11:J13)</f>
        <v>1502.8119999999999</v>
      </c>
      <c r="K14" s="594"/>
      <c r="L14" s="594">
        <f>SUM(L11:L13)</f>
        <v>304.27199999999999</v>
      </c>
      <c r="M14" s="589"/>
    </row>
    <row r="15" spans="1:13" ht="22.5" customHeight="1">
      <c r="A15" s="611" t="s">
        <v>2204</v>
      </c>
      <c r="B15" s="612"/>
      <c r="C15" s="609"/>
      <c r="D15" s="609"/>
      <c r="E15" s="594"/>
      <c r="F15" s="594">
        <f>+F9+F14</f>
        <v>5773.0840000000007</v>
      </c>
      <c r="G15" s="594"/>
      <c r="H15" s="594">
        <f>+H9+H14</f>
        <v>3966.0000000000005</v>
      </c>
      <c r="I15" s="594"/>
      <c r="J15" s="594">
        <f>+J9+J14</f>
        <v>1502.8119999999999</v>
      </c>
      <c r="K15" s="594"/>
      <c r="L15" s="594">
        <f>+L9+L14</f>
        <v>304.27199999999999</v>
      </c>
      <c r="M15" s="613"/>
    </row>
    <row r="16" spans="1:13" ht="22.5" customHeight="1">
      <c r="A16" s="1596" t="s">
        <v>2222</v>
      </c>
      <c r="B16" s="1597"/>
      <c r="C16" s="614"/>
      <c r="D16" s="614"/>
      <c r="E16" s="615"/>
      <c r="F16" s="615">
        <f>F15</f>
        <v>5773.0840000000007</v>
      </c>
      <c r="G16" s="594"/>
      <c r="H16" s="615">
        <f>H15</f>
        <v>3966.0000000000005</v>
      </c>
      <c r="I16" s="594"/>
      <c r="J16" s="615">
        <f>J15</f>
        <v>1502.8119999999999</v>
      </c>
      <c r="K16" s="594"/>
      <c r="L16" s="615">
        <f>L15</f>
        <v>304.27199999999999</v>
      </c>
      <c r="M16" s="613"/>
    </row>
    <row r="17" spans="1:13" ht="22.5" customHeight="1">
      <c r="A17" s="616" t="s">
        <v>2223</v>
      </c>
      <c r="B17" s="617"/>
      <c r="C17" s="614"/>
      <c r="D17" s="614"/>
      <c r="E17" s="594"/>
      <c r="F17" s="594"/>
      <c r="G17" s="594"/>
      <c r="H17" s="594"/>
      <c r="I17" s="594"/>
      <c r="J17" s="594"/>
      <c r="K17" s="594"/>
      <c r="L17" s="594"/>
      <c r="M17" s="613"/>
    </row>
    <row r="18" spans="1:13" ht="22.5" customHeight="1">
      <c r="A18" s="618" t="s">
        <v>2224</v>
      </c>
      <c r="B18" s="619"/>
      <c r="C18" s="620"/>
      <c r="D18" s="620"/>
      <c r="E18" s="621"/>
      <c r="F18" s="621"/>
      <c r="G18" s="621"/>
      <c r="H18" s="621"/>
      <c r="I18" s="621"/>
      <c r="J18" s="621"/>
      <c r="K18" s="621"/>
      <c r="L18" s="621"/>
      <c r="M18" s="622"/>
    </row>
  </sheetData>
  <mergeCells count="11">
    <mergeCell ref="K2:L2"/>
    <mergeCell ref="E2:F2"/>
    <mergeCell ref="M2:M3"/>
    <mergeCell ref="A16:B16"/>
    <mergeCell ref="A1:M1"/>
    <mergeCell ref="A2:A3"/>
    <mergeCell ref="B2:B3"/>
    <mergeCell ref="C2:C3"/>
    <mergeCell ref="D2:D3"/>
    <mergeCell ref="G2:H2"/>
    <mergeCell ref="I2:J2"/>
  </mergeCells>
  <phoneticPr fontId="3" type="noConversion"/>
  <printOptions horizontalCentered="1"/>
  <pageMargins left="0.39370078740157483" right="0.39370078740157483" top="1.19" bottom="0.27559055118110237" header="0.71" footer="0.19685039370078741"/>
  <pageSetup paperSize="9" orientation="landscape" horizontalDpi="300" r:id="rId1"/>
  <headerFooter alignWithMargins="0">
    <oddHeader xml:space="preserve">&amp;C&amp;"휴먼명조,굵게"&amp;20일    위    대    가    표&amp;R&amp;10
</oddHeader>
    <oddFooter xml:space="preserve">&amp;R&amp;8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M18"/>
  <sheetViews>
    <sheetView showGridLines="0" view="pageBreakPreview" workbookViewId="0">
      <selection activeCell="G31" sqref="G31"/>
    </sheetView>
  </sheetViews>
  <sheetFormatPr defaultColWidth="7.109375" defaultRowHeight="16.5" customHeight="1"/>
  <cols>
    <col min="1" max="1" width="12.21875" style="623" customWidth="1"/>
    <col min="2" max="2" width="10.88671875" style="624" customWidth="1"/>
    <col min="3" max="3" width="7.88671875" style="625" customWidth="1"/>
    <col min="4" max="4" width="4.44140625" style="625" customWidth="1"/>
    <col min="5" max="6" width="10" style="626" customWidth="1"/>
    <col min="7" max="7" width="8.88671875" style="626" customWidth="1"/>
    <col min="8" max="8" width="10" style="626" customWidth="1"/>
    <col min="9" max="9" width="8.88671875" style="626" customWidth="1"/>
    <col min="10" max="11" width="10" style="626" customWidth="1"/>
    <col min="12" max="12" width="9.6640625" style="626" customWidth="1"/>
    <col min="13" max="13" width="7.44140625" style="627" customWidth="1"/>
    <col min="14" max="16384" width="7.109375" style="578"/>
  </cols>
  <sheetData>
    <row r="1" spans="1:13" s="577" customFormat="1" ht="27" customHeight="1">
      <c r="A1" s="1598" t="s">
        <v>2202</v>
      </c>
      <c r="B1" s="1599"/>
      <c r="C1" s="1599"/>
      <c r="D1" s="1599"/>
      <c r="E1" s="1599"/>
      <c r="F1" s="1599"/>
      <c r="G1" s="1599"/>
      <c r="H1" s="1599"/>
      <c r="I1" s="1599"/>
      <c r="J1" s="1599"/>
      <c r="K1" s="1599"/>
      <c r="L1" s="1599"/>
      <c r="M1" s="1600"/>
    </row>
    <row r="2" spans="1:13" ht="22.5" customHeight="1">
      <c r="A2" s="1601" t="s">
        <v>2203</v>
      </c>
      <c r="B2" s="1603" t="s">
        <v>286</v>
      </c>
      <c r="C2" s="1603" t="s">
        <v>1115</v>
      </c>
      <c r="D2" s="1603" t="s">
        <v>288</v>
      </c>
      <c r="E2" s="1592" t="s">
        <v>2204</v>
      </c>
      <c r="F2" s="1593"/>
      <c r="G2" s="1592" t="s">
        <v>2205</v>
      </c>
      <c r="H2" s="1592"/>
      <c r="I2" s="1592" t="s">
        <v>2206</v>
      </c>
      <c r="J2" s="1592"/>
      <c r="K2" s="1592" t="s">
        <v>2207</v>
      </c>
      <c r="L2" s="1592"/>
      <c r="M2" s="1594" t="s">
        <v>1262</v>
      </c>
    </row>
    <row r="3" spans="1:13" ht="22.5" customHeight="1">
      <c r="A3" s="1602"/>
      <c r="B3" s="1604"/>
      <c r="C3" s="1604"/>
      <c r="D3" s="1604"/>
      <c r="E3" s="579" t="s">
        <v>2208</v>
      </c>
      <c r="F3" s="580" t="s">
        <v>2209</v>
      </c>
      <c r="G3" s="579" t="s">
        <v>2208</v>
      </c>
      <c r="H3" s="579" t="s">
        <v>2209</v>
      </c>
      <c r="I3" s="579" t="s">
        <v>2208</v>
      </c>
      <c r="J3" s="579" t="s">
        <v>2209</v>
      </c>
      <c r="K3" s="579" t="s">
        <v>2208</v>
      </c>
      <c r="L3" s="579" t="s">
        <v>2209</v>
      </c>
      <c r="M3" s="1595"/>
    </row>
    <row r="4" spans="1:13" ht="22.5" customHeight="1">
      <c r="A4" s="581" t="s">
        <v>2210</v>
      </c>
      <c r="B4" s="582"/>
      <c r="C4" s="583"/>
      <c r="D4" s="582"/>
      <c r="E4" s="582"/>
      <c r="F4" s="582"/>
      <c r="G4" s="582"/>
      <c r="H4" s="582"/>
      <c r="I4" s="582"/>
      <c r="J4" s="582"/>
      <c r="K4" s="582"/>
      <c r="L4" s="582"/>
      <c r="M4" s="584"/>
    </row>
    <row r="5" spans="1:13" ht="22.5" customHeight="1">
      <c r="A5" s="585" t="s">
        <v>2211</v>
      </c>
      <c r="B5" s="586"/>
      <c r="C5" s="587"/>
      <c r="D5" s="586"/>
      <c r="E5" s="588"/>
      <c r="F5" s="588"/>
      <c r="G5" s="588"/>
      <c r="H5" s="588"/>
      <c r="I5" s="588"/>
      <c r="J5" s="588"/>
      <c r="K5" s="588"/>
      <c r="L5" s="588"/>
      <c r="M5" s="589"/>
    </row>
    <row r="6" spans="1:13" ht="22.5" customHeight="1">
      <c r="A6" s="590" t="s">
        <v>2212</v>
      </c>
      <c r="B6" s="591" t="s">
        <v>2213</v>
      </c>
      <c r="C6" s="592">
        <v>1.1000000000000001</v>
      </c>
      <c r="D6" s="593" t="s">
        <v>2214</v>
      </c>
      <c r="E6" s="594">
        <f>+G6+I6+K6</f>
        <v>5000</v>
      </c>
      <c r="F6" s="594">
        <f>+C6*E6</f>
        <v>5500</v>
      </c>
      <c r="G6" s="595">
        <v>5000</v>
      </c>
      <c r="H6" s="594">
        <f>(G6*C6)</f>
        <v>5500</v>
      </c>
      <c r="I6" s="594"/>
      <c r="J6" s="594"/>
      <c r="K6" s="594"/>
      <c r="L6" s="594"/>
      <c r="M6" s="596"/>
    </row>
    <row r="7" spans="1:13" ht="22.5" customHeight="1">
      <c r="A7" s="590" t="s">
        <v>872</v>
      </c>
      <c r="B7" s="591" t="s">
        <v>2215</v>
      </c>
      <c r="C7" s="592">
        <v>1.42</v>
      </c>
      <c r="D7" s="593" t="s">
        <v>1166</v>
      </c>
      <c r="E7" s="594">
        <f>+G7+I7+K7</f>
        <v>300</v>
      </c>
      <c r="F7" s="594">
        <f>+C7*E7</f>
        <v>426</v>
      </c>
      <c r="G7" s="595">
        <v>300</v>
      </c>
      <c r="H7" s="594">
        <f>(G7*C7)</f>
        <v>426</v>
      </c>
      <c r="I7" s="594"/>
      <c r="J7" s="594"/>
      <c r="K7" s="594"/>
      <c r="L7" s="594"/>
      <c r="M7" s="596"/>
    </row>
    <row r="8" spans="1:13" ht="22.5" customHeight="1">
      <c r="A8" s="590" t="s">
        <v>2216</v>
      </c>
      <c r="B8" s="591"/>
      <c r="C8" s="592">
        <v>2.4</v>
      </c>
      <c r="D8" s="593" t="s">
        <v>741</v>
      </c>
      <c r="E8" s="594">
        <f>+G8+I8+K8</f>
        <v>100</v>
      </c>
      <c r="F8" s="594">
        <f>+C8*E8</f>
        <v>240</v>
      </c>
      <c r="G8" s="595">
        <v>100</v>
      </c>
      <c r="H8" s="594">
        <f>(G8*C8)</f>
        <v>240</v>
      </c>
      <c r="I8" s="594"/>
      <c r="J8" s="594"/>
      <c r="K8" s="594"/>
      <c r="L8" s="594"/>
      <c r="M8" s="596"/>
    </row>
    <row r="9" spans="1:13" ht="22.5" customHeight="1">
      <c r="A9" s="597" t="s">
        <v>2217</v>
      </c>
      <c r="B9" s="591"/>
      <c r="C9" s="592"/>
      <c r="D9" s="593"/>
      <c r="E9" s="594"/>
      <c r="F9" s="594">
        <f>SUM(F6:F8)</f>
        <v>6166</v>
      </c>
      <c r="G9" s="595"/>
      <c r="H9" s="594">
        <f>SUM(H6:H8)</f>
        <v>6166</v>
      </c>
      <c r="I9" s="594"/>
      <c r="J9" s="594">
        <f>SUM(J6:J8)</f>
        <v>0</v>
      </c>
      <c r="K9" s="594"/>
      <c r="L9" s="594">
        <f>SUM(L6:L8)</f>
        <v>0</v>
      </c>
      <c r="M9" s="589"/>
    </row>
    <row r="10" spans="1:13" ht="22.5" customHeight="1">
      <c r="A10" s="585" t="s">
        <v>2218</v>
      </c>
      <c r="B10" s="598"/>
      <c r="C10" s="599"/>
      <c r="D10" s="600"/>
      <c r="E10" s="594"/>
      <c r="F10" s="594"/>
      <c r="G10" s="594"/>
      <c r="H10" s="594"/>
      <c r="I10" s="594"/>
      <c r="J10" s="594"/>
      <c r="K10" s="594"/>
      <c r="L10" s="594"/>
      <c r="M10" s="589"/>
    </row>
    <row r="11" spans="1:13" ht="22.5" customHeight="1">
      <c r="A11" s="590" t="s">
        <v>971</v>
      </c>
      <c r="B11" s="598" t="s">
        <v>2219</v>
      </c>
      <c r="C11" s="601">
        <v>1.2E-2</v>
      </c>
      <c r="D11" s="602" t="s">
        <v>1221</v>
      </c>
      <c r="E11" s="594">
        <f>+G11+I11+K11</f>
        <v>68965</v>
      </c>
      <c r="F11" s="594">
        <f>+C11*E11</f>
        <v>827.58</v>
      </c>
      <c r="G11" s="603"/>
      <c r="H11" s="594"/>
      <c r="I11" s="594">
        <v>68965</v>
      </c>
      <c r="J11" s="594">
        <f>(I11*C11)</f>
        <v>827.58</v>
      </c>
      <c r="K11" s="594"/>
      <c r="L11" s="594"/>
      <c r="M11" s="589"/>
    </row>
    <row r="12" spans="1:13" ht="22.5" customHeight="1">
      <c r="A12" s="590" t="s">
        <v>967</v>
      </c>
      <c r="B12" s="598" t="s">
        <v>2219</v>
      </c>
      <c r="C12" s="604">
        <v>8.0000000000000002E-3</v>
      </c>
      <c r="D12" s="605" t="s">
        <v>1221</v>
      </c>
      <c r="E12" s="594">
        <f>+G12+I12+K12</f>
        <v>84404</v>
      </c>
      <c r="F12" s="594">
        <f>+C12*E12</f>
        <v>675.23199999999997</v>
      </c>
      <c r="G12" s="603"/>
      <c r="H12" s="594"/>
      <c r="I12" s="594">
        <v>84404</v>
      </c>
      <c r="J12" s="594">
        <f>(I12*C12)</f>
        <v>675.23199999999997</v>
      </c>
      <c r="K12" s="594"/>
      <c r="L12" s="594"/>
      <c r="M12" s="589"/>
    </row>
    <row r="13" spans="1:13" ht="22.5" customHeight="1">
      <c r="A13" s="590" t="s">
        <v>2220</v>
      </c>
      <c r="B13" s="606" t="s">
        <v>2221</v>
      </c>
      <c r="C13" s="604">
        <v>8.0000000000000002E-3</v>
      </c>
      <c r="D13" s="606" t="s">
        <v>1284</v>
      </c>
      <c r="E13" s="594">
        <f>+G13+I13+K13</f>
        <v>38034</v>
      </c>
      <c r="F13" s="594">
        <f>+C13*E13</f>
        <v>304.27199999999999</v>
      </c>
      <c r="G13" s="603"/>
      <c r="H13" s="594"/>
      <c r="I13" s="594"/>
      <c r="J13" s="594"/>
      <c r="K13" s="594">
        <v>38034</v>
      </c>
      <c r="L13" s="594">
        <f>C13*K13</f>
        <v>304.27199999999999</v>
      </c>
      <c r="M13" s="589"/>
    </row>
    <row r="14" spans="1:13" ht="22.5" customHeight="1">
      <c r="A14" s="607" t="s">
        <v>2217</v>
      </c>
      <c r="B14" s="600"/>
      <c r="C14" s="608"/>
      <c r="D14" s="609"/>
      <c r="E14" s="594"/>
      <c r="F14" s="594">
        <f>SUM(F11:F13)</f>
        <v>1807.0839999999998</v>
      </c>
      <c r="G14" s="594"/>
      <c r="H14" s="594">
        <f>SUM(H11:H13)</f>
        <v>0</v>
      </c>
      <c r="I14" s="610"/>
      <c r="J14" s="594">
        <f>SUM(J11:J13)</f>
        <v>1502.8119999999999</v>
      </c>
      <c r="K14" s="594"/>
      <c r="L14" s="594">
        <f>SUM(L11:L13)</f>
        <v>304.27199999999999</v>
      </c>
      <c r="M14" s="589"/>
    </row>
    <row r="15" spans="1:13" ht="22.5" customHeight="1">
      <c r="A15" s="611" t="s">
        <v>2204</v>
      </c>
      <c r="B15" s="612"/>
      <c r="C15" s="609"/>
      <c r="D15" s="609"/>
      <c r="E15" s="594"/>
      <c r="F15" s="594">
        <f>+F9+F14</f>
        <v>7973.0839999999998</v>
      </c>
      <c r="G15" s="594"/>
      <c r="H15" s="594">
        <f>+H9+H14</f>
        <v>6166</v>
      </c>
      <c r="I15" s="594"/>
      <c r="J15" s="594">
        <f>+J9+J14</f>
        <v>1502.8119999999999</v>
      </c>
      <c r="K15" s="594"/>
      <c r="L15" s="594">
        <f>+L9+L14</f>
        <v>304.27199999999999</v>
      </c>
      <c r="M15" s="613"/>
    </row>
    <row r="16" spans="1:13" ht="22.5" customHeight="1">
      <c r="A16" s="1596" t="s">
        <v>2222</v>
      </c>
      <c r="B16" s="1597"/>
      <c r="C16" s="614"/>
      <c r="D16" s="614"/>
      <c r="E16" s="615"/>
      <c r="F16" s="615">
        <f>F15</f>
        <v>7973.0839999999998</v>
      </c>
      <c r="G16" s="594"/>
      <c r="H16" s="615">
        <f>H15</f>
        <v>6166</v>
      </c>
      <c r="I16" s="594"/>
      <c r="J16" s="615">
        <f>J15</f>
        <v>1502.8119999999999</v>
      </c>
      <c r="K16" s="594"/>
      <c r="L16" s="615">
        <f>L15</f>
        <v>304.27199999999999</v>
      </c>
      <c r="M16" s="613"/>
    </row>
    <row r="17" spans="1:13" ht="22.5" customHeight="1">
      <c r="A17" s="616" t="s">
        <v>2223</v>
      </c>
      <c r="B17" s="617"/>
      <c r="C17" s="614"/>
      <c r="D17" s="614"/>
      <c r="E17" s="594"/>
      <c r="F17" s="594"/>
      <c r="G17" s="594"/>
      <c r="H17" s="594"/>
      <c r="I17" s="594"/>
      <c r="J17" s="594"/>
      <c r="K17" s="594"/>
      <c r="L17" s="594"/>
      <c r="M17" s="613"/>
    </row>
    <row r="18" spans="1:13" ht="22.5" customHeight="1">
      <c r="A18" s="618" t="s">
        <v>2224</v>
      </c>
      <c r="B18" s="619"/>
      <c r="C18" s="620"/>
      <c r="D18" s="620"/>
      <c r="E18" s="621"/>
      <c r="F18" s="621"/>
      <c r="G18" s="621"/>
      <c r="H18" s="621"/>
      <c r="I18" s="621"/>
      <c r="J18" s="621"/>
      <c r="K18" s="621"/>
      <c r="L18" s="621"/>
      <c r="M18" s="622"/>
    </row>
  </sheetData>
  <mergeCells count="11">
    <mergeCell ref="I2:J2"/>
    <mergeCell ref="K2:L2"/>
    <mergeCell ref="E2:F2"/>
    <mergeCell ref="M2:M3"/>
    <mergeCell ref="A16:B16"/>
    <mergeCell ref="A1:M1"/>
    <mergeCell ref="A2:A3"/>
    <mergeCell ref="B2:B3"/>
    <mergeCell ref="C2:C3"/>
    <mergeCell ref="D2:D3"/>
    <mergeCell ref="G2:H2"/>
  </mergeCells>
  <phoneticPr fontId="3" type="noConversion"/>
  <printOptions horizontalCentered="1"/>
  <pageMargins left="0.39370078740157483" right="0.39370078740157483" top="1.19" bottom="0.27559055118110237" header="0.71" footer="0.19685039370078741"/>
  <pageSetup paperSize="9" orientation="landscape" horizontalDpi="300" r:id="rId1"/>
  <headerFooter alignWithMargins="0">
    <oddHeader xml:space="preserve">&amp;C&amp;"휴먼명조,굵게"&amp;20일    위    대    가    표&amp;R&amp;10
</oddHeader>
    <oddFooter xml:space="preserve">&amp;R&amp;8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18"/>
  <sheetViews>
    <sheetView showGridLines="0" view="pageBreakPreview" workbookViewId="0">
      <selection activeCell="P6" sqref="P6"/>
    </sheetView>
  </sheetViews>
  <sheetFormatPr defaultColWidth="7.109375" defaultRowHeight="16.5" customHeight="1"/>
  <cols>
    <col min="1" max="1" width="12.21875" style="623" customWidth="1"/>
    <col min="2" max="2" width="10.88671875" style="624" customWidth="1"/>
    <col min="3" max="3" width="7.88671875" style="625" customWidth="1"/>
    <col min="4" max="4" width="4.44140625" style="625" customWidth="1"/>
    <col min="5" max="6" width="10" style="626" customWidth="1"/>
    <col min="7" max="7" width="8.88671875" style="626" customWidth="1"/>
    <col min="8" max="8" width="10" style="626" customWidth="1"/>
    <col min="9" max="9" width="8.88671875" style="626" customWidth="1"/>
    <col min="10" max="11" width="10" style="626" customWidth="1"/>
    <col min="12" max="12" width="9.6640625" style="626" customWidth="1"/>
    <col min="13" max="13" width="7.44140625" style="627" customWidth="1"/>
    <col min="14" max="16384" width="7.109375" style="578"/>
  </cols>
  <sheetData>
    <row r="1" spans="1:13" s="577" customFormat="1" ht="27" customHeight="1">
      <c r="A1" s="1598" t="s">
        <v>0</v>
      </c>
      <c r="B1" s="1599"/>
      <c r="C1" s="1599"/>
      <c r="D1" s="1599"/>
      <c r="E1" s="1599"/>
      <c r="F1" s="1599"/>
      <c r="G1" s="1599"/>
      <c r="H1" s="1599"/>
      <c r="I1" s="1599"/>
      <c r="J1" s="1599"/>
      <c r="K1" s="1599"/>
      <c r="L1" s="1599"/>
      <c r="M1" s="1600"/>
    </row>
    <row r="2" spans="1:13" ht="22.5" customHeight="1">
      <c r="A2" s="1601" t="s">
        <v>2203</v>
      </c>
      <c r="B2" s="1603" t="s">
        <v>286</v>
      </c>
      <c r="C2" s="1603" t="s">
        <v>1115</v>
      </c>
      <c r="D2" s="1603" t="s">
        <v>288</v>
      </c>
      <c r="E2" s="1592" t="s">
        <v>2204</v>
      </c>
      <c r="F2" s="1593"/>
      <c r="G2" s="1592" t="s">
        <v>2205</v>
      </c>
      <c r="H2" s="1592"/>
      <c r="I2" s="1592" t="s">
        <v>2206</v>
      </c>
      <c r="J2" s="1592"/>
      <c r="K2" s="1592" t="s">
        <v>2207</v>
      </c>
      <c r="L2" s="1592"/>
      <c r="M2" s="1594" t="s">
        <v>1262</v>
      </c>
    </row>
    <row r="3" spans="1:13" ht="22.5" customHeight="1">
      <c r="A3" s="1602"/>
      <c r="B3" s="1604"/>
      <c r="C3" s="1604"/>
      <c r="D3" s="1604"/>
      <c r="E3" s="579" t="s">
        <v>2208</v>
      </c>
      <c r="F3" s="580" t="s">
        <v>2209</v>
      </c>
      <c r="G3" s="579" t="s">
        <v>2208</v>
      </c>
      <c r="H3" s="579" t="s">
        <v>2209</v>
      </c>
      <c r="I3" s="579" t="s">
        <v>2208</v>
      </c>
      <c r="J3" s="579" t="s">
        <v>2209</v>
      </c>
      <c r="K3" s="579" t="s">
        <v>2208</v>
      </c>
      <c r="L3" s="579" t="s">
        <v>2209</v>
      </c>
      <c r="M3" s="1595"/>
    </row>
    <row r="4" spans="1:13" ht="22.5" customHeight="1">
      <c r="A4" s="581" t="s">
        <v>2210</v>
      </c>
      <c r="B4" s="582"/>
      <c r="C4" s="583"/>
      <c r="D4" s="582"/>
      <c r="E4" s="582"/>
      <c r="F4" s="582"/>
      <c r="G4" s="582"/>
      <c r="H4" s="582"/>
      <c r="I4" s="582"/>
      <c r="J4" s="582"/>
      <c r="K4" s="582"/>
      <c r="L4" s="582"/>
      <c r="M4" s="584"/>
    </row>
    <row r="5" spans="1:13" ht="22.5" customHeight="1">
      <c r="A5" s="585" t="s">
        <v>2211</v>
      </c>
      <c r="B5" s="586"/>
      <c r="C5" s="587"/>
      <c r="D5" s="586"/>
      <c r="E5" s="588"/>
      <c r="F5" s="588"/>
      <c r="G5" s="588"/>
      <c r="H5" s="588"/>
      <c r="I5" s="588"/>
      <c r="J5" s="588"/>
      <c r="K5" s="588"/>
      <c r="L5" s="588"/>
      <c r="M5" s="589"/>
    </row>
    <row r="6" spans="1:13" ht="22.5" customHeight="1">
      <c r="A6" s="590" t="s">
        <v>2212</v>
      </c>
      <c r="B6" s="591" t="s">
        <v>1</v>
      </c>
      <c r="C6" s="592">
        <v>1.1000000000000001</v>
      </c>
      <c r="D6" s="593" t="s">
        <v>2214</v>
      </c>
      <c r="E6" s="594">
        <f>+G6+I6+K6</f>
        <v>8000</v>
      </c>
      <c r="F6" s="594">
        <f>+C6*E6</f>
        <v>8800</v>
      </c>
      <c r="G6" s="595">
        <v>8000</v>
      </c>
      <c r="H6" s="594">
        <f>(G6*C6)</f>
        <v>8800</v>
      </c>
      <c r="I6" s="594"/>
      <c r="J6" s="594"/>
      <c r="K6" s="594"/>
      <c r="L6" s="594"/>
      <c r="M6" s="596"/>
    </row>
    <row r="7" spans="1:13" ht="22.5" customHeight="1">
      <c r="A7" s="590" t="s">
        <v>872</v>
      </c>
      <c r="B7" s="591" t="s">
        <v>2215</v>
      </c>
      <c r="C7" s="592">
        <v>1.42</v>
      </c>
      <c r="D7" s="593" t="s">
        <v>1166</v>
      </c>
      <c r="E7" s="594">
        <f>+G7+I7+K7</f>
        <v>300</v>
      </c>
      <c r="F7" s="594">
        <f>+C7*E7</f>
        <v>426</v>
      </c>
      <c r="G7" s="595">
        <v>300</v>
      </c>
      <c r="H7" s="594">
        <f>(G7*C7)</f>
        <v>426</v>
      </c>
      <c r="I7" s="594"/>
      <c r="J7" s="594"/>
      <c r="K7" s="594"/>
      <c r="L7" s="594"/>
      <c r="M7" s="596"/>
    </row>
    <row r="8" spans="1:13" ht="22.5" customHeight="1">
      <c r="A8" s="590" t="s">
        <v>2216</v>
      </c>
      <c r="B8" s="591"/>
      <c r="C8" s="592">
        <v>2.4</v>
      </c>
      <c r="D8" s="593" t="s">
        <v>741</v>
      </c>
      <c r="E8" s="594">
        <f>+G8+I8+K8</f>
        <v>100</v>
      </c>
      <c r="F8" s="594">
        <f>+C8*E8</f>
        <v>240</v>
      </c>
      <c r="G8" s="595">
        <v>100</v>
      </c>
      <c r="H8" s="594">
        <f>(G8*C8)</f>
        <v>240</v>
      </c>
      <c r="I8" s="594"/>
      <c r="J8" s="594"/>
      <c r="K8" s="594"/>
      <c r="L8" s="594"/>
      <c r="M8" s="596"/>
    </row>
    <row r="9" spans="1:13" ht="22.5" customHeight="1">
      <c r="A9" s="597" t="s">
        <v>2217</v>
      </c>
      <c r="B9" s="591"/>
      <c r="C9" s="592"/>
      <c r="D9" s="593"/>
      <c r="E9" s="594"/>
      <c r="F9" s="594">
        <f>SUM(F6:F8)</f>
        <v>9466</v>
      </c>
      <c r="G9" s="595"/>
      <c r="H9" s="594">
        <f>SUM(H6:H8)</f>
        <v>9466</v>
      </c>
      <c r="I9" s="594"/>
      <c r="J9" s="594">
        <f>SUM(J6:J8)</f>
        <v>0</v>
      </c>
      <c r="K9" s="594"/>
      <c r="L9" s="594">
        <f>SUM(L6:L8)</f>
        <v>0</v>
      </c>
      <c r="M9" s="589"/>
    </row>
    <row r="10" spans="1:13" ht="22.5" customHeight="1">
      <c r="A10" s="585" t="s">
        <v>2218</v>
      </c>
      <c r="B10" s="598"/>
      <c r="C10" s="599"/>
      <c r="D10" s="600"/>
      <c r="E10" s="594"/>
      <c r="F10" s="594"/>
      <c r="G10" s="594"/>
      <c r="H10" s="594"/>
      <c r="I10" s="594"/>
      <c r="J10" s="594"/>
      <c r="K10" s="594"/>
      <c r="L10" s="594"/>
      <c r="M10" s="589"/>
    </row>
    <row r="11" spans="1:13" ht="22.5" customHeight="1">
      <c r="A11" s="590" t="s">
        <v>971</v>
      </c>
      <c r="B11" s="598" t="s">
        <v>2219</v>
      </c>
      <c r="C11" s="601">
        <v>1.2E-2</v>
      </c>
      <c r="D11" s="602" t="s">
        <v>1221</v>
      </c>
      <c r="E11" s="594">
        <f>+G11+I11+K11</f>
        <v>68965</v>
      </c>
      <c r="F11" s="594">
        <f>+C11*E11</f>
        <v>827.58</v>
      </c>
      <c r="G11" s="603"/>
      <c r="H11" s="594"/>
      <c r="I11" s="594">
        <v>68965</v>
      </c>
      <c r="J11" s="594">
        <f>(I11*C11)</f>
        <v>827.58</v>
      </c>
      <c r="K11" s="594"/>
      <c r="L11" s="594"/>
      <c r="M11" s="589"/>
    </row>
    <row r="12" spans="1:13" ht="22.5" customHeight="1">
      <c r="A12" s="590" t="s">
        <v>967</v>
      </c>
      <c r="B12" s="598" t="s">
        <v>2219</v>
      </c>
      <c r="C12" s="604">
        <v>8.0000000000000002E-3</v>
      </c>
      <c r="D12" s="605" t="s">
        <v>1221</v>
      </c>
      <c r="E12" s="594">
        <f>+G12+I12+K12</f>
        <v>84404</v>
      </c>
      <c r="F12" s="594">
        <f>+C12*E12</f>
        <v>675.23199999999997</v>
      </c>
      <c r="G12" s="603"/>
      <c r="H12" s="594"/>
      <c r="I12" s="594">
        <v>84404</v>
      </c>
      <c r="J12" s="594">
        <f>(I12*C12)</f>
        <v>675.23199999999997</v>
      </c>
      <c r="K12" s="594"/>
      <c r="L12" s="594"/>
      <c r="M12" s="589"/>
    </row>
    <row r="13" spans="1:13" ht="22.5" customHeight="1">
      <c r="A13" s="590" t="s">
        <v>2220</v>
      </c>
      <c r="B13" s="606" t="s">
        <v>2221</v>
      </c>
      <c r="C13" s="604">
        <v>8.0000000000000002E-3</v>
      </c>
      <c r="D13" s="606" t="s">
        <v>1284</v>
      </c>
      <c r="E13" s="594">
        <f>+G13+I13+K13</f>
        <v>38034</v>
      </c>
      <c r="F13" s="594">
        <f>+C13*E13</f>
        <v>304.27199999999999</v>
      </c>
      <c r="G13" s="603"/>
      <c r="H13" s="594"/>
      <c r="I13" s="594"/>
      <c r="J13" s="594"/>
      <c r="K13" s="594">
        <v>38034</v>
      </c>
      <c r="L13" s="594">
        <f>C13*K13</f>
        <v>304.27199999999999</v>
      </c>
      <c r="M13" s="589"/>
    </row>
    <row r="14" spans="1:13" ht="22.5" customHeight="1">
      <c r="A14" s="607" t="s">
        <v>2217</v>
      </c>
      <c r="B14" s="600"/>
      <c r="C14" s="608"/>
      <c r="D14" s="609"/>
      <c r="E14" s="594"/>
      <c r="F14" s="594">
        <f>SUM(F11:F13)</f>
        <v>1807.0839999999998</v>
      </c>
      <c r="G14" s="594"/>
      <c r="H14" s="594">
        <f>SUM(H11:H13)</f>
        <v>0</v>
      </c>
      <c r="I14" s="610"/>
      <c r="J14" s="594">
        <f>SUM(J11:J13)</f>
        <v>1502.8119999999999</v>
      </c>
      <c r="K14" s="594"/>
      <c r="L14" s="594">
        <f>SUM(L11:L13)</f>
        <v>304.27199999999999</v>
      </c>
      <c r="M14" s="589"/>
    </row>
    <row r="15" spans="1:13" ht="22.5" customHeight="1">
      <c r="A15" s="611" t="s">
        <v>2204</v>
      </c>
      <c r="B15" s="612"/>
      <c r="C15" s="609"/>
      <c r="D15" s="609"/>
      <c r="E15" s="594"/>
      <c r="F15" s="594">
        <f>+F9+F14</f>
        <v>11273.083999999999</v>
      </c>
      <c r="G15" s="594"/>
      <c r="H15" s="594">
        <f>+H9+H14</f>
        <v>9466</v>
      </c>
      <c r="I15" s="594"/>
      <c r="J15" s="594">
        <f>+J9+J14</f>
        <v>1502.8119999999999</v>
      </c>
      <c r="K15" s="594"/>
      <c r="L15" s="594">
        <f>+L9+L14</f>
        <v>304.27199999999999</v>
      </c>
      <c r="M15" s="613"/>
    </row>
    <row r="16" spans="1:13" ht="22.5" customHeight="1">
      <c r="A16" s="1596" t="s">
        <v>2222</v>
      </c>
      <c r="B16" s="1597"/>
      <c r="C16" s="614"/>
      <c r="D16" s="614"/>
      <c r="E16" s="615"/>
      <c r="F16" s="615">
        <f>F15</f>
        <v>11273.083999999999</v>
      </c>
      <c r="G16" s="594"/>
      <c r="H16" s="615">
        <f>H15</f>
        <v>9466</v>
      </c>
      <c r="I16" s="594"/>
      <c r="J16" s="615">
        <f>J15</f>
        <v>1502.8119999999999</v>
      </c>
      <c r="K16" s="594"/>
      <c r="L16" s="615">
        <f>L15</f>
        <v>304.27199999999999</v>
      </c>
      <c r="M16" s="613"/>
    </row>
    <row r="17" spans="1:13" ht="22.5" customHeight="1">
      <c r="A17" s="616" t="s">
        <v>2223</v>
      </c>
      <c r="B17" s="617"/>
      <c r="C17" s="614"/>
      <c r="D17" s="614"/>
      <c r="E17" s="594"/>
      <c r="F17" s="594"/>
      <c r="G17" s="594"/>
      <c r="H17" s="594"/>
      <c r="I17" s="594"/>
      <c r="J17" s="594"/>
      <c r="K17" s="594"/>
      <c r="L17" s="594"/>
      <c r="M17" s="613"/>
    </row>
    <row r="18" spans="1:13" ht="22.5" customHeight="1">
      <c r="A18" s="618" t="s">
        <v>2224</v>
      </c>
      <c r="B18" s="619"/>
      <c r="C18" s="620"/>
      <c r="D18" s="620"/>
      <c r="E18" s="621"/>
      <c r="F18" s="621"/>
      <c r="G18" s="621"/>
      <c r="H18" s="621"/>
      <c r="I18" s="621"/>
      <c r="J18" s="621"/>
      <c r="K18" s="621"/>
      <c r="L18" s="621"/>
      <c r="M18" s="622"/>
    </row>
  </sheetData>
  <mergeCells count="11">
    <mergeCell ref="A16:B16"/>
    <mergeCell ref="A1:M1"/>
    <mergeCell ref="A2:A3"/>
    <mergeCell ref="B2:B3"/>
    <mergeCell ref="C2:C3"/>
    <mergeCell ref="D2:D3"/>
    <mergeCell ref="G2:H2"/>
    <mergeCell ref="I2:J2"/>
    <mergeCell ref="K2:L2"/>
    <mergeCell ref="E2:F2"/>
    <mergeCell ref="M2:M3"/>
  </mergeCells>
  <phoneticPr fontId="3" type="noConversion"/>
  <printOptions horizontalCentered="1"/>
  <pageMargins left="0.39370078740157483" right="0.39370078740157483" top="1.19" bottom="0.27559055118110237" header="0.71" footer="0.19685039370078741"/>
  <pageSetup paperSize="9" orientation="landscape" horizontalDpi="300" r:id="rId1"/>
  <headerFooter alignWithMargins="0">
    <oddHeader xml:space="preserve">&amp;C&amp;"휴먼명조,굵게"&amp;20일    위    대    가    표&amp;R&amp;10
</oddHeader>
    <oddFooter xml:space="preserve">&amp;R&amp;8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S37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1269" customWidth="1"/>
    <col min="5" max="5" width="3.109375" style="1269" customWidth="1"/>
    <col min="6" max="11" width="2.77734375" style="1269" customWidth="1"/>
    <col min="12" max="12" width="3" style="1269" customWidth="1"/>
    <col min="13" max="13" width="2.77734375" style="1269" customWidth="1"/>
    <col min="14" max="14" width="3.21875" style="1269" customWidth="1"/>
    <col min="15" max="16384" width="2.77734375" style="1269"/>
  </cols>
  <sheetData>
    <row r="1" spans="1:19" s="1263" customFormat="1" ht="13.5">
      <c r="D1" s="1264"/>
    </row>
    <row r="2" spans="1:19" s="1263" customFormat="1" ht="13.5">
      <c r="D2" s="1264"/>
    </row>
    <row r="3" spans="1:19" s="1263" customFormat="1" ht="13.5">
      <c r="D3" s="1264"/>
    </row>
    <row r="4" spans="1:19" s="1263" customFormat="1" ht="13.5">
      <c r="D4" s="1264"/>
    </row>
    <row r="5" spans="1:19" s="1263" customFormat="1" ht="13.5">
      <c r="D5" s="1264"/>
    </row>
    <row r="6" spans="1:19" s="1263" customFormat="1" ht="13.5">
      <c r="D6" s="1264"/>
    </row>
    <row r="7" spans="1:19" s="1263" customFormat="1" ht="31.5">
      <c r="A7" s="1605" t="s">
        <v>333</v>
      </c>
      <c r="B7" s="1605"/>
      <c r="C7" s="1605"/>
      <c r="D7" s="1605"/>
      <c r="E7" s="1605"/>
      <c r="F7" s="1605"/>
      <c r="G7" s="1605"/>
      <c r="H7" s="1605"/>
      <c r="I7" s="1605"/>
      <c r="J7" s="1605"/>
      <c r="K7" s="1605"/>
      <c r="L7" s="1605"/>
      <c r="M7" s="1605"/>
      <c r="N7" s="1605"/>
      <c r="O7" s="1605"/>
      <c r="P7" s="1605"/>
      <c r="Q7" s="1605"/>
      <c r="R7" s="1605"/>
      <c r="S7" s="1605"/>
    </row>
    <row r="8" spans="1:19" s="1263" customFormat="1" ht="13.5">
      <c r="D8" s="1264"/>
    </row>
    <row r="9" spans="1:19" s="1263" customFormat="1" ht="13.5">
      <c r="D9" s="1264"/>
    </row>
    <row r="10" spans="1:19" s="1263" customFormat="1" ht="13.5">
      <c r="D10" s="1264"/>
    </row>
    <row r="11" spans="1:19" s="1263" customFormat="1" ht="13.5">
      <c r="D11" s="1264"/>
    </row>
    <row r="12" spans="1:19" s="1263" customFormat="1" ht="13.5">
      <c r="D12" s="1264"/>
    </row>
    <row r="13" spans="1:19" s="1263" customFormat="1" ht="13.5">
      <c r="D13" s="1264"/>
    </row>
    <row r="14" spans="1:19" s="1263" customFormat="1" ht="13.5">
      <c r="D14" s="1264"/>
    </row>
    <row r="15" spans="1:19" s="1263" customFormat="1" ht="13.5">
      <c r="D15" s="1264"/>
    </row>
    <row r="16" spans="1:19" s="1263" customFormat="1" ht="13.5">
      <c r="D16" s="1264"/>
    </row>
    <row r="17" spans="3:8" s="1263" customFormat="1" ht="13.5">
      <c r="D17" s="1264"/>
    </row>
    <row r="18" spans="3:8" s="1263" customFormat="1" ht="13.5">
      <c r="D18" s="1264"/>
    </row>
    <row r="19" spans="3:8" s="1268" customFormat="1" ht="30" customHeight="1">
      <c r="C19" s="1265"/>
      <c r="D19" s="1266"/>
      <c r="E19" s="1267"/>
      <c r="F19" s="1606"/>
      <c r="G19" s="1607"/>
      <c r="H19" s="1267"/>
    </row>
    <row r="20" spans="3:8" s="1263" customFormat="1" ht="13.5">
      <c r="D20" s="1264"/>
    </row>
    <row r="21" spans="3:8" s="1263" customFormat="1" ht="13.5">
      <c r="D21" s="1264"/>
    </row>
    <row r="22" spans="3:8" s="1263" customFormat="1" ht="13.5">
      <c r="D22" s="1264"/>
    </row>
    <row r="23" spans="3:8" s="1263" customFormat="1" ht="13.5">
      <c r="D23" s="1264"/>
    </row>
    <row r="24" spans="3:8" s="1263" customFormat="1" ht="13.5">
      <c r="D24" s="1264"/>
    </row>
    <row r="25" spans="3:8" s="1263" customFormat="1" ht="13.5">
      <c r="D25" s="1264"/>
    </row>
    <row r="26" spans="3:8" s="1263" customFormat="1" ht="13.5">
      <c r="D26" s="1264"/>
    </row>
    <row r="27" spans="3:8" s="1263" customFormat="1" ht="13.5">
      <c r="D27" s="1264"/>
    </row>
    <row r="28" spans="3:8" s="1263" customFormat="1" ht="13.5">
      <c r="D28" s="1264"/>
    </row>
    <row r="29" spans="3:8" s="1263" customFormat="1" ht="13.5">
      <c r="D29" s="1264"/>
    </row>
    <row r="30" spans="3:8" s="1263" customFormat="1" ht="13.5">
      <c r="D30" s="1264"/>
    </row>
    <row r="31" spans="3:8" s="1263" customFormat="1" ht="13.5">
      <c r="D31" s="1264"/>
    </row>
    <row r="32" spans="3:8" s="1263" customFormat="1" ht="13.5">
      <c r="D32" s="1264"/>
    </row>
    <row r="33" spans="4:4" s="1263" customFormat="1" ht="13.5">
      <c r="D33" s="1264"/>
    </row>
    <row r="34" spans="4:4" s="1263" customFormat="1" ht="13.5">
      <c r="D34" s="1264"/>
    </row>
    <row r="35" spans="4:4" s="1263" customFormat="1" ht="13.5">
      <c r="D35" s="1264"/>
    </row>
    <row r="36" spans="4:4" s="1263" customFormat="1" ht="13.5">
      <c r="D36" s="1264"/>
    </row>
    <row r="37" spans="4:4" s="1263" customFormat="1" ht="13.5">
      <c r="D37" s="1264"/>
    </row>
  </sheetData>
  <mergeCells count="2">
    <mergeCell ref="A7:S7"/>
    <mergeCell ref="F19:G19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0"/>
  <sheetViews>
    <sheetView zoomScale="98" workbookViewId="0">
      <pane ySplit="2" topLeftCell="A3" activePane="bottomLeft" state="frozen"/>
      <selection activeCell="A8" sqref="A8"/>
      <selection pane="bottomLeft" activeCell="A8" sqref="A8"/>
    </sheetView>
  </sheetViews>
  <sheetFormatPr defaultColWidth="8" defaultRowHeight="13.5"/>
  <cols>
    <col min="1" max="1" width="7.33203125" style="1289" customWidth="1"/>
    <col min="2" max="2" width="6.5546875" style="1289" customWidth="1"/>
    <col min="3" max="3" width="11.33203125" style="1289" customWidth="1"/>
    <col min="4" max="4" width="7.6640625" style="1289" customWidth="1"/>
    <col min="5" max="5" width="4.88671875" style="1289" customWidth="1"/>
    <col min="6" max="6" width="9.21875" style="1289" customWidth="1"/>
    <col min="7" max="7" width="9.88671875" style="1289" customWidth="1"/>
    <col min="8" max="13" width="9.44140625" style="1289" customWidth="1"/>
    <col min="14" max="15" width="8.5546875" style="1289" customWidth="1"/>
    <col min="16" max="17" width="7.6640625" style="1289" customWidth="1"/>
    <col min="18" max="20" width="5.88671875" style="1289" customWidth="1"/>
    <col min="21" max="16384" width="8" style="1289"/>
  </cols>
  <sheetData>
    <row r="1" spans="1:14" s="1270" customFormat="1" ht="21.95" customHeight="1">
      <c r="A1" s="1621" t="s">
        <v>334</v>
      </c>
      <c r="B1" s="1617"/>
      <c r="C1" s="1617" t="s">
        <v>335</v>
      </c>
      <c r="D1" s="1617" t="s">
        <v>336</v>
      </c>
      <c r="E1" s="1617" t="s">
        <v>337</v>
      </c>
      <c r="F1" s="1625" t="s">
        <v>338</v>
      </c>
      <c r="G1" s="1625"/>
      <c r="H1" s="1617" t="s">
        <v>339</v>
      </c>
      <c r="I1" s="1617"/>
      <c r="J1" s="1617" t="s">
        <v>340</v>
      </c>
      <c r="K1" s="1617"/>
      <c r="L1" s="1617" t="s">
        <v>341</v>
      </c>
      <c r="M1" s="1617"/>
      <c r="N1" s="1623" t="s">
        <v>342</v>
      </c>
    </row>
    <row r="2" spans="1:14" s="1270" customFormat="1" ht="21.95" customHeight="1">
      <c r="A2" s="1622"/>
      <c r="B2" s="1618"/>
      <c r="C2" s="1618"/>
      <c r="D2" s="1618"/>
      <c r="E2" s="1618"/>
      <c r="F2" s="1271" t="s">
        <v>343</v>
      </c>
      <c r="G2" s="1272" t="s">
        <v>344</v>
      </c>
      <c r="H2" s="1271" t="s">
        <v>343</v>
      </c>
      <c r="I2" s="1271" t="s">
        <v>344</v>
      </c>
      <c r="J2" s="1271" t="s">
        <v>343</v>
      </c>
      <c r="K2" s="1271" t="s">
        <v>344</v>
      </c>
      <c r="L2" s="1271" t="s">
        <v>343</v>
      </c>
      <c r="M2" s="1271" t="s">
        <v>344</v>
      </c>
      <c r="N2" s="1624"/>
    </row>
    <row r="3" spans="1:14" s="1270" customFormat="1" ht="21.95" customHeight="1">
      <c r="A3" s="1619" t="str">
        <f ca="1">'테라토5-일위대가'!A3</f>
        <v xml:space="preserve">제 1호표 앙카핀 및 착지핀 홀천공 </v>
      </c>
      <c r="B3" s="1620"/>
      <c r="C3" s="1620"/>
      <c r="D3" s="1620"/>
      <c r="E3" s="1620"/>
      <c r="F3" s="1620"/>
      <c r="G3" s="1274"/>
      <c r="H3" s="1275"/>
      <c r="I3" s="1275"/>
      <c r="J3" s="1275"/>
      <c r="K3" s="1275"/>
      <c r="L3" s="1275"/>
      <c r="M3" s="1275"/>
      <c r="N3" s="1273"/>
    </row>
    <row r="4" spans="1:14" s="1270" customFormat="1" ht="21.95" customHeight="1">
      <c r="A4" s="1610" t="str">
        <f ca="1">'테라토5-일위대가'!A9</f>
        <v xml:space="preserve">제 2호표 앙카핀 및 착지핀 설치 </v>
      </c>
      <c r="B4" s="1611"/>
      <c r="C4" s="1611"/>
      <c r="D4" s="1611"/>
      <c r="E4" s="1611"/>
      <c r="F4" s="1612"/>
      <c r="G4" s="1276"/>
      <c r="H4" s="1275"/>
      <c r="I4" s="1275"/>
      <c r="J4" s="1275"/>
      <c r="K4" s="1275"/>
      <c r="L4" s="1275"/>
      <c r="M4" s="1275"/>
      <c r="N4" s="1273"/>
    </row>
    <row r="5" spans="1:14" s="1270" customFormat="1" ht="21.95" customHeight="1">
      <c r="A5" s="1610" t="str">
        <f ca="1">'테라토5-일위대가'!A17</f>
        <v xml:space="preserve">제 3호표 능형망 설치 </v>
      </c>
      <c r="B5" s="1611"/>
      <c r="C5" s="1611"/>
      <c r="D5" s="1611"/>
      <c r="E5" s="1611"/>
      <c r="F5" s="1612"/>
      <c r="G5" s="1276"/>
      <c r="H5" s="1277"/>
      <c r="I5" s="1278"/>
      <c r="J5" s="1277"/>
      <c r="K5" s="1278"/>
      <c r="L5" s="1277"/>
      <c r="M5" s="1278"/>
      <c r="N5" s="1273"/>
    </row>
    <row r="6" spans="1:14" s="1270" customFormat="1" ht="21.95" customHeight="1">
      <c r="A6" s="1610" t="str">
        <f ca="1">'테라토5-일위대가'!A24</f>
        <v>제 4호표 취부공 품셈</v>
      </c>
      <c r="B6" s="1611"/>
      <c r="C6" s="1611"/>
      <c r="D6" s="1611"/>
      <c r="E6" s="1611"/>
      <c r="F6" s="1612"/>
      <c r="G6" s="1276"/>
      <c r="H6" s="1277"/>
      <c r="I6" s="1278"/>
      <c r="J6" s="1277"/>
      <c r="K6" s="1278"/>
      <c r="L6" s="1277"/>
      <c r="M6" s="1278"/>
      <c r="N6" s="1273"/>
    </row>
    <row r="7" spans="1:14" s="1270" customFormat="1" ht="21.95" customHeight="1">
      <c r="A7" s="1279"/>
      <c r="B7" s="1280"/>
      <c r="C7" s="1281"/>
      <c r="D7" s="1281"/>
      <c r="E7" s="1281"/>
      <c r="F7" s="1281"/>
      <c r="G7" s="1276"/>
      <c r="H7" s="1282"/>
      <c r="I7" s="1283"/>
      <c r="J7" s="1282"/>
      <c r="K7" s="1283"/>
      <c r="L7" s="1282"/>
      <c r="M7" s="1283"/>
      <c r="N7" s="1284"/>
    </row>
    <row r="8" spans="1:14" ht="21.95" customHeight="1">
      <c r="A8" s="1279"/>
      <c r="B8" s="1280"/>
      <c r="C8" s="1281"/>
      <c r="D8" s="1281"/>
      <c r="E8" s="1281"/>
      <c r="F8" s="1281"/>
      <c r="G8" s="1285"/>
      <c r="H8" s="1286"/>
      <c r="I8" s="1287"/>
      <c r="J8" s="1286"/>
      <c r="K8" s="1287"/>
      <c r="L8" s="1286"/>
      <c r="M8" s="1287"/>
      <c r="N8" s="1288"/>
    </row>
    <row r="9" spans="1:14" ht="21.95" customHeight="1">
      <c r="A9" s="1615"/>
      <c r="B9" s="1616"/>
      <c r="C9" s="1290"/>
      <c r="D9" s="1281"/>
      <c r="E9" s="1281"/>
      <c r="F9" s="1281"/>
      <c r="G9" s="1285"/>
      <c r="H9" s="1291"/>
      <c r="I9" s="1291"/>
      <c r="J9" s="1291"/>
      <c r="K9" s="1291"/>
      <c r="L9" s="1291"/>
      <c r="M9" s="1291"/>
      <c r="N9" s="1292"/>
    </row>
    <row r="10" spans="1:14" ht="21.95" customHeight="1">
      <c r="A10" s="1615"/>
      <c r="B10" s="1616"/>
      <c r="C10" s="1290"/>
      <c r="D10" s="1293"/>
      <c r="E10" s="1293"/>
      <c r="F10" s="1293"/>
      <c r="G10" s="1294"/>
      <c r="H10" s="1295"/>
      <c r="I10" s="1295"/>
      <c r="J10" s="1295"/>
      <c r="K10" s="1295"/>
      <c r="L10" s="1295"/>
      <c r="M10" s="1295"/>
      <c r="N10" s="1296"/>
    </row>
    <row r="11" spans="1:14" ht="21.95" customHeight="1">
      <c r="A11" s="1608"/>
      <c r="B11" s="1609"/>
      <c r="C11" s="1297"/>
      <c r="D11" s="1295"/>
      <c r="E11" s="1295"/>
      <c r="F11" s="1295"/>
      <c r="G11" s="1298"/>
      <c r="H11" s="1295"/>
      <c r="I11" s="1295"/>
      <c r="J11" s="1295"/>
      <c r="K11" s="1295"/>
      <c r="L11" s="1295"/>
      <c r="M11" s="1295"/>
      <c r="N11" s="1296"/>
    </row>
    <row r="12" spans="1:14" ht="21.95" customHeight="1">
      <c r="A12" s="1608"/>
      <c r="B12" s="1609"/>
      <c r="C12" s="1297"/>
      <c r="D12" s="1295"/>
      <c r="E12" s="1295"/>
      <c r="F12" s="1295"/>
      <c r="G12" s="1298"/>
      <c r="H12" s="1295"/>
      <c r="I12" s="1295"/>
      <c r="J12" s="1295"/>
      <c r="K12" s="1295"/>
      <c r="L12" s="1295"/>
      <c r="M12" s="1295"/>
      <c r="N12" s="1296"/>
    </row>
    <row r="13" spans="1:14" ht="21.95" customHeight="1">
      <c r="A13" s="1608"/>
      <c r="B13" s="1609"/>
      <c r="C13" s="1297"/>
      <c r="D13" s="1295"/>
      <c r="E13" s="1295"/>
      <c r="F13" s="1295"/>
      <c r="G13" s="1298"/>
      <c r="H13" s="1295"/>
      <c r="I13" s="1295"/>
      <c r="J13" s="1295"/>
      <c r="K13" s="1295"/>
      <c r="L13" s="1295"/>
      <c r="M13" s="1295"/>
      <c r="N13" s="1296"/>
    </row>
    <row r="14" spans="1:14" ht="21.95" customHeight="1">
      <c r="A14" s="1608"/>
      <c r="B14" s="1609"/>
      <c r="C14" s="1295"/>
      <c r="D14" s="1295"/>
      <c r="E14" s="1295"/>
      <c r="F14" s="1295"/>
      <c r="G14" s="1295"/>
      <c r="H14" s="1295"/>
      <c r="I14" s="1295"/>
      <c r="J14" s="1295"/>
      <c r="K14" s="1295"/>
      <c r="L14" s="1295"/>
      <c r="M14" s="1295"/>
      <c r="N14" s="1296"/>
    </row>
    <row r="15" spans="1:14" ht="21.95" customHeight="1">
      <c r="A15" s="1608"/>
      <c r="B15" s="1609"/>
      <c r="C15" s="1295"/>
      <c r="D15" s="1295"/>
      <c r="E15" s="1295"/>
      <c r="F15" s="1295"/>
      <c r="G15" s="1295"/>
      <c r="H15" s="1295"/>
      <c r="I15" s="1295"/>
      <c r="J15" s="1295"/>
      <c r="K15" s="1295"/>
      <c r="L15" s="1295"/>
      <c r="M15" s="1295"/>
      <c r="N15" s="1296"/>
    </row>
    <row r="16" spans="1:14" ht="21.95" customHeight="1">
      <c r="A16" s="1608"/>
      <c r="B16" s="1609"/>
      <c r="C16" s="1295"/>
      <c r="D16" s="1295"/>
      <c r="E16" s="1295"/>
      <c r="F16" s="1295"/>
      <c r="G16" s="1295"/>
      <c r="H16" s="1295"/>
      <c r="I16" s="1295"/>
      <c r="J16" s="1295"/>
      <c r="K16" s="1295"/>
      <c r="L16" s="1295"/>
      <c r="M16" s="1295"/>
      <c r="N16" s="1296"/>
    </row>
    <row r="17" spans="1:14" ht="21.95" customHeight="1">
      <c r="A17" s="1608"/>
      <c r="B17" s="1609"/>
      <c r="C17" s="1299"/>
      <c r="D17" s="1299"/>
      <c r="E17" s="1299"/>
      <c r="F17" s="1299"/>
      <c r="G17" s="1299"/>
      <c r="H17" s="1299"/>
      <c r="I17" s="1299"/>
      <c r="J17" s="1299"/>
      <c r="K17" s="1299"/>
      <c r="L17" s="1299"/>
      <c r="M17" s="1299"/>
      <c r="N17" s="1296"/>
    </row>
    <row r="18" spans="1:14" ht="21.95" customHeight="1">
      <c r="A18" s="1608"/>
      <c r="B18" s="1609"/>
      <c r="C18" s="1299"/>
      <c r="D18" s="1299"/>
      <c r="E18" s="1299"/>
      <c r="F18" s="1299"/>
      <c r="G18" s="1299"/>
      <c r="H18" s="1299"/>
      <c r="I18" s="1299"/>
      <c r="J18" s="1299"/>
      <c r="K18" s="1299"/>
      <c r="L18" s="1299"/>
      <c r="M18" s="1299"/>
      <c r="N18" s="1296"/>
    </row>
    <row r="19" spans="1:14" ht="21.95" customHeight="1">
      <c r="A19" s="1608"/>
      <c r="B19" s="1609"/>
      <c r="C19" s="1299"/>
      <c r="D19" s="1299"/>
      <c r="E19" s="1299"/>
      <c r="F19" s="1299"/>
      <c r="G19" s="1299"/>
      <c r="H19" s="1299"/>
      <c r="I19" s="1299"/>
      <c r="J19" s="1299"/>
      <c r="K19" s="1299"/>
      <c r="L19" s="1299"/>
      <c r="M19" s="1299"/>
      <c r="N19" s="1296"/>
    </row>
    <row r="20" spans="1:14" ht="21.95" customHeight="1">
      <c r="A20" s="1613"/>
      <c r="B20" s="1614"/>
      <c r="C20" s="1300"/>
      <c r="D20" s="1300"/>
      <c r="E20" s="1300"/>
      <c r="F20" s="1300"/>
      <c r="G20" s="1300"/>
      <c r="H20" s="1300"/>
      <c r="I20" s="1300"/>
      <c r="J20" s="1300"/>
      <c r="K20" s="1300"/>
      <c r="L20" s="1300"/>
      <c r="M20" s="1300"/>
      <c r="N20" s="1301"/>
    </row>
  </sheetData>
  <mergeCells count="25">
    <mergeCell ref="N1:N2"/>
    <mergeCell ref="E1:E2"/>
    <mergeCell ref="H1:I1"/>
    <mergeCell ref="J1:K1"/>
    <mergeCell ref="F1:G1"/>
    <mergeCell ref="A11:B11"/>
    <mergeCell ref="A12:B12"/>
    <mergeCell ref="A13:B13"/>
    <mergeCell ref="L1:M1"/>
    <mergeCell ref="C1:C2"/>
    <mergeCell ref="D1:D2"/>
    <mergeCell ref="A4:F4"/>
    <mergeCell ref="A5:F5"/>
    <mergeCell ref="A3:F3"/>
    <mergeCell ref="A1:B2"/>
    <mergeCell ref="A18:B18"/>
    <mergeCell ref="A19:B19"/>
    <mergeCell ref="A6:F6"/>
    <mergeCell ref="A20:B20"/>
    <mergeCell ref="A9:B9"/>
    <mergeCell ref="A10:B10"/>
    <mergeCell ref="A14:B14"/>
    <mergeCell ref="A15:B15"/>
    <mergeCell ref="A16:B16"/>
    <mergeCell ref="A17:B17"/>
  </mergeCells>
  <phoneticPr fontId="116" type="noConversion"/>
  <pageMargins left="0.61" right="0.52" top="1.08" bottom="0.65" header="0.57999999999999996" footer="0.39370078740157483"/>
  <pageSetup paperSize="9" orientation="landscape" horizontalDpi="300" verticalDpi="300" r:id="rId1"/>
  <headerFooter alignWithMargins="0">
    <oddHeader>&amp;C&amp;"돋움,보통"&amp;16일  위  대  가  목  록  표</oddHeader>
    <oddFooter>&amp;C(&amp;P)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N44"/>
  <sheetViews>
    <sheetView view="pageBreakPreview" zoomScaleNormal="98" workbookViewId="0">
      <pane ySplit="2" topLeftCell="A3" activePane="bottomLeft" state="frozen"/>
      <selection activeCell="A8" sqref="A8"/>
      <selection pane="bottomLeft" activeCell="A8" sqref="A8"/>
    </sheetView>
  </sheetViews>
  <sheetFormatPr defaultColWidth="8" defaultRowHeight="13.5"/>
  <cols>
    <col min="1" max="1" width="7.33203125" style="1323" customWidth="1"/>
    <col min="2" max="2" width="7.88671875" style="1323" customWidth="1"/>
    <col min="3" max="3" width="12.44140625" style="1323" customWidth="1"/>
    <col min="4" max="4" width="8.33203125" style="1323" customWidth="1"/>
    <col min="5" max="5" width="4.88671875" style="1323" customWidth="1"/>
    <col min="6" max="6" width="9.21875" style="1323" customWidth="1"/>
    <col min="7" max="7" width="9.88671875" style="1323" customWidth="1"/>
    <col min="8" max="13" width="9.44140625" style="1323" customWidth="1"/>
    <col min="14" max="14" width="6.88671875" style="1323" customWidth="1"/>
    <col min="15" max="15" width="8.5546875" style="1323" customWidth="1"/>
    <col min="16" max="17" width="7.6640625" style="1323" customWidth="1"/>
    <col min="18" max="20" width="5.88671875" style="1323" customWidth="1"/>
    <col min="21" max="16384" width="8" style="1323"/>
  </cols>
  <sheetData>
    <row r="1" spans="1:14" s="1302" customFormat="1" ht="20.100000000000001" customHeight="1">
      <c r="A1" s="1634" t="s">
        <v>334</v>
      </c>
      <c r="B1" s="1632"/>
      <c r="C1" s="1632" t="s">
        <v>335</v>
      </c>
      <c r="D1" s="1632" t="s">
        <v>336</v>
      </c>
      <c r="E1" s="1632" t="s">
        <v>337</v>
      </c>
      <c r="F1" s="1633" t="s">
        <v>338</v>
      </c>
      <c r="G1" s="1633"/>
      <c r="H1" s="1632" t="s">
        <v>339</v>
      </c>
      <c r="I1" s="1632"/>
      <c r="J1" s="1632" t="s">
        <v>340</v>
      </c>
      <c r="K1" s="1632"/>
      <c r="L1" s="1632" t="s">
        <v>341</v>
      </c>
      <c r="M1" s="1632"/>
      <c r="N1" s="1635" t="s">
        <v>342</v>
      </c>
    </row>
    <row r="2" spans="1:14" s="1302" customFormat="1" ht="20.100000000000001" customHeight="1">
      <c r="A2" s="1628"/>
      <c r="B2" s="1629"/>
      <c r="C2" s="1629"/>
      <c r="D2" s="1629"/>
      <c r="E2" s="1629"/>
      <c r="F2" s="1303" t="s">
        <v>343</v>
      </c>
      <c r="G2" s="1304" t="s">
        <v>344</v>
      </c>
      <c r="H2" s="1303" t="s">
        <v>343</v>
      </c>
      <c r="I2" s="1303" t="s">
        <v>344</v>
      </c>
      <c r="J2" s="1303" t="s">
        <v>343</v>
      </c>
      <c r="K2" s="1303" t="s">
        <v>344</v>
      </c>
      <c r="L2" s="1303" t="s">
        <v>343</v>
      </c>
      <c r="M2" s="1303" t="s">
        <v>344</v>
      </c>
      <c r="N2" s="1636"/>
    </row>
    <row r="3" spans="1:14" s="1302" customFormat="1" ht="20.100000000000001" customHeight="1">
      <c r="A3" s="1305" t="s">
        <v>345</v>
      </c>
      <c r="B3" s="1306"/>
      <c r="C3" s="1306"/>
      <c r="D3" s="1306"/>
      <c r="E3" s="1307"/>
      <c r="F3" s="1308"/>
      <c r="G3" s="594"/>
      <c r="H3" s="594"/>
      <c r="I3" s="594"/>
      <c r="J3" s="594"/>
      <c r="K3" s="594"/>
      <c r="L3" s="594"/>
      <c r="M3" s="594"/>
      <c r="N3" s="1215" t="s">
        <v>346</v>
      </c>
    </row>
    <row r="4" spans="1:14" s="1302" customFormat="1" ht="20.100000000000001" customHeight="1">
      <c r="A4" s="1626" t="s">
        <v>347</v>
      </c>
      <c r="B4" s="1627"/>
      <c r="C4" s="1303" t="s">
        <v>348</v>
      </c>
      <c r="D4" s="1309">
        <v>1.2999999999999999E-2</v>
      </c>
      <c r="E4" s="1303" t="s">
        <v>349</v>
      </c>
      <c r="F4" s="1303">
        <f>H4+J4+L4</f>
        <v>38821</v>
      </c>
      <c r="G4" s="594">
        <f>SUM(I4,K4,M4)</f>
        <v>503</v>
      </c>
      <c r="H4" s="594">
        <f ca="1">'테라토5-장비'!F7</f>
        <v>14606</v>
      </c>
      <c r="I4" s="594">
        <f ca="1">INT(D4*H4)</f>
        <v>189</v>
      </c>
      <c r="J4" s="594">
        <f ca="1">'테라토5-장비'!F11</f>
        <v>20561</v>
      </c>
      <c r="K4" s="594">
        <f ca="1">INT(D4*J4)</f>
        <v>267</v>
      </c>
      <c r="L4" s="594">
        <f ca="1">'테라토5-장비'!F13</f>
        <v>3654</v>
      </c>
      <c r="M4" s="594">
        <f>INT(D4*L4)</f>
        <v>47</v>
      </c>
      <c r="N4" s="1310"/>
    </row>
    <row r="5" spans="1:14" s="1302" customFormat="1" ht="20.100000000000001" customHeight="1">
      <c r="A5" s="1626" t="s">
        <v>350</v>
      </c>
      <c r="B5" s="1627"/>
      <c r="C5" s="1303"/>
      <c r="D5" s="1309">
        <v>8.0000000000000002E-3</v>
      </c>
      <c r="E5" s="1303" t="s">
        <v>351</v>
      </c>
      <c r="F5" s="1303">
        <f>H5+J5+L5</f>
        <v>79533</v>
      </c>
      <c r="G5" s="594">
        <f>SUM(I5,K5,M5)</f>
        <v>636</v>
      </c>
      <c r="H5" s="594">
        <v>0</v>
      </c>
      <c r="I5" s="594">
        <f>INT(D5*H5)</f>
        <v>0</v>
      </c>
      <c r="J5" s="594">
        <f ca="1">'테라토5-단가적용'!J16</f>
        <v>79533</v>
      </c>
      <c r="K5" s="594">
        <f>INT(D5*J5)</f>
        <v>636</v>
      </c>
      <c r="L5" s="594">
        <v>0</v>
      </c>
      <c r="M5" s="594">
        <f>INT(D5*L5)</f>
        <v>0</v>
      </c>
      <c r="N5" s="1310"/>
    </row>
    <row r="6" spans="1:14" s="1302" customFormat="1" ht="20.100000000000001" customHeight="1">
      <c r="A6" s="1626" t="s">
        <v>352</v>
      </c>
      <c r="B6" s="1627"/>
      <c r="C6" s="1303"/>
      <c r="D6" s="1309">
        <v>8.0000000000000002E-3</v>
      </c>
      <c r="E6" s="1303" t="s">
        <v>351</v>
      </c>
      <c r="F6" s="1303">
        <f>H6+J6+L6</f>
        <v>68965</v>
      </c>
      <c r="G6" s="594">
        <f>SUM(I6,K6,M6)</f>
        <v>551</v>
      </c>
      <c r="H6" s="594">
        <v>0</v>
      </c>
      <c r="I6" s="594">
        <f>INT(D6*H6)</f>
        <v>0</v>
      </c>
      <c r="J6" s="594">
        <f ca="1">'테라토5-단가적용'!J12</f>
        <v>68965</v>
      </c>
      <c r="K6" s="594">
        <f>INT(D6*J6)</f>
        <v>551</v>
      </c>
      <c r="L6" s="594">
        <v>0</v>
      </c>
      <c r="M6" s="594">
        <f>INT(D6*L6)</f>
        <v>0</v>
      </c>
      <c r="N6" s="1310"/>
    </row>
    <row r="7" spans="1:14" s="1302" customFormat="1" ht="20.100000000000001" customHeight="1">
      <c r="A7" s="1628" t="s">
        <v>353</v>
      </c>
      <c r="B7" s="1629"/>
      <c r="C7" s="594"/>
      <c r="D7" s="594"/>
      <c r="E7" s="594"/>
      <c r="F7" s="594"/>
      <c r="G7" s="594">
        <f>SUM(G4:G6)</f>
        <v>1690</v>
      </c>
      <c r="H7" s="594"/>
      <c r="I7" s="594">
        <f>SUM(I4:I6)</f>
        <v>189</v>
      </c>
      <c r="J7" s="594"/>
      <c r="K7" s="594">
        <f>SUM(K4:K6)</f>
        <v>1454</v>
      </c>
      <c r="L7" s="594"/>
      <c r="M7" s="594">
        <f>SUM(M4:M6)</f>
        <v>47</v>
      </c>
      <c r="N7" s="1310"/>
    </row>
    <row r="8" spans="1:14" s="1302" customFormat="1" ht="20.100000000000001" customHeight="1">
      <c r="A8" s="1628"/>
      <c r="B8" s="1629"/>
      <c r="C8" s="594"/>
      <c r="D8" s="594"/>
      <c r="E8" s="594"/>
      <c r="F8" s="594"/>
      <c r="G8" s="594"/>
      <c r="H8" s="594"/>
      <c r="I8" s="594"/>
      <c r="J8" s="594"/>
      <c r="K8" s="594"/>
      <c r="L8" s="594"/>
      <c r="M8" s="594"/>
      <c r="N8" s="1310"/>
    </row>
    <row r="9" spans="1:14" s="1302" customFormat="1" ht="20.100000000000001" customHeight="1">
      <c r="A9" s="1305" t="s">
        <v>354</v>
      </c>
      <c r="B9" s="1306"/>
      <c r="C9" s="1306"/>
      <c r="D9" s="1306"/>
      <c r="E9" s="1307"/>
      <c r="F9" s="1308"/>
      <c r="G9" s="594"/>
      <c r="H9" s="594"/>
      <c r="I9" s="594"/>
      <c r="J9" s="594"/>
      <c r="K9" s="594"/>
      <c r="L9" s="594"/>
      <c r="M9" s="594"/>
      <c r="N9" s="1215" t="s">
        <v>346</v>
      </c>
    </row>
    <row r="10" spans="1:14" s="1302" customFormat="1" ht="20.100000000000001" customHeight="1">
      <c r="A10" s="1626" t="s">
        <v>355</v>
      </c>
      <c r="B10" s="1627"/>
      <c r="C10" s="594" t="s">
        <v>356</v>
      </c>
      <c r="D10" s="1311">
        <v>0.23</v>
      </c>
      <c r="E10" s="1303" t="s">
        <v>357</v>
      </c>
      <c r="F10" s="1303">
        <f>H10+J10+L10</f>
        <v>600</v>
      </c>
      <c r="G10" s="594">
        <f>SUM(I10,K10,M10)</f>
        <v>138</v>
      </c>
      <c r="H10" s="594">
        <f ca="1">'테라토5-단가적용'!J3</f>
        <v>600</v>
      </c>
      <c r="I10" s="594">
        <f ca="1">INT(D10*H10)</f>
        <v>138</v>
      </c>
      <c r="J10" s="594">
        <v>0</v>
      </c>
      <c r="K10" s="594">
        <f>INT(D10*J10)</f>
        <v>0</v>
      </c>
      <c r="L10" s="594">
        <v>0</v>
      </c>
      <c r="M10" s="594">
        <f>INT(D10*L10)</f>
        <v>0</v>
      </c>
      <c r="N10" s="1310"/>
    </row>
    <row r="11" spans="1:14" s="1302" customFormat="1" ht="20.100000000000001" customHeight="1">
      <c r="A11" s="1626" t="s">
        <v>358</v>
      </c>
      <c r="B11" s="1627"/>
      <c r="C11" s="594" t="s">
        <v>359</v>
      </c>
      <c r="D11" s="1311">
        <v>0.5</v>
      </c>
      <c r="E11" s="1303" t="s">
        <v>357</v>
      </c>
      <c r="F11" s="1303">
        <f>H11+J11+L11</f>
        <v>400</v>
      </c>
      <c r="G11" s="594">
        <f>SUM(I11,K11,M11)</f>
        <v>200</v>
      </c>
      <c r="H11" s="594">
        <f ca="1">'테라토5-단가적용'!J4</f>
        <v>400</v>
      </c>
      <c r="I11" s="594">
        <f ca="1">INT(D11*H11)</f>
        <v>200</v>
      </c>
      <c r="J11" s="594">
        <v>0</v>
      </c>
      <c r="K11" s="594">
        <f>INT(D11*J11)</f>
        <v>0</v>
      </c>
      <c r="L11" s="594">
        <v>0</v>
      </c>
      <c r="M11" s="594">
        <f>INT(D11*L11)</f>
        <v>0</v>
      </c>
      <c r="N11" s="1310"/>
    </row>
    <row r="12" spans="1:14" s="1302" customFormat="1" ht="20.100000000000001" customHeight="1">
      <c r="A12" s="1626" t="s">
        <v>360</v>
      </c>
      <c r="B12" s="1627"/>
      <c r="C12" s="594"/>
      <c r="D12" s="1311">
        <v>2E-3</v>
      </c>
      <c r="E12" s="1303" t="s">
        <v>351</v>
      </c>
      <c r="F12" s="1303">
        <f>H12+J12+L12</f>
        <v>84404</v>
      </c>
      <c r="G12" s="594">
        <f>SUM(I12,K12,M12)</f>
        <v>168</v>
      </c>
      <c r="H12" s="594">
        <v>0</v>
      </c>
      <c r="I12" s="594">
        <f ca="1">INT(D12*H12)</f>
        <v>0</v>
      </c>
      <c r="J12" s="594">
        <f ca="1">'테라토5-단가적용'!J13</f>
        <v>84404</v>
      </c>
      <c r="K12" s="594">
        <f>INT(D12*J12)</f>
        <v>168</v>
      </c>
      <c r="L12" s="594">
        <v>0</v>
      </c>
      <c r="M12" s="594">
        <f>INT(D12*L12)</f>
        <v>0</v>
      </c>
      <c r="N12" s="1310"/>
    </row>
    <row r="13" spans="1:14" s="1302" customFormat="1" ht="20.100000000000001" customHeight="1">
      <c r="A13" s="1626" t="s">
        <v>352</v>
      </c>
      <c r="B13" s="1627"/>
      <c r="C13" s="594"/>
      <c r="D13" s="1311">
        <v>2E-3</v>
      </c>
      <c r="E13" s="1303" t="s">
        <v>351</v>
      </c>
      <c r="F13" s="1303">
        <f>H13+J13+L13</f>
        <v>68965</v>
      </c>
      <c r="G13" s="594">
        <f>SUM(I13,K13,M13)</f>
        <v>137</v>
      </c>
      <c r="H13" s="594">
        <v>0</v>
      </c>
      <c r="I13" s="594">
        <f ca="1">INT(D13*H13)</f>
        <v>0</v>
      </c>
      <c r="J13" s="594">
        <f ca="1">'테라토5-단가적용'!J12</f>
        <v>68965</v>
      </c>
      <c r="K13" s="594">
        <f>INT(D13*J13)</f>
        <v>137</v>
      </c>
      <c r="L13" s="594">
        <v>0</v>
      </c>
      <c r="M13" s="594">
        <f>INT(D13*L13)</f>
        <v>0</v>
      </c>
      <c r="N13" s="1310"/>
    </row>
    <row r="14" spans="1:14" s="1302" customFormat="1" ht="20.100000000000001" customHeight="1">
      <c r="A14" s="1628" t="s">
        <v>353</v>
      </c>
      <c r="B14" s="1629"/>
      <c r="C14" s="594"/>
      <c r="D14" s="594"/>
      <c r="E14" s="594"/>
      <c r="F14" s="594"/>
      <c r="G14" s="594">
        <f>SUM(G10:G13)</f>
        <v>643</v>
      </c>
      <c r="H14" s="594"/>
      <c r="I14" s="594">
        <f>SUM(I10:I13)</f>
        <v>338</v>
      </c>
      <c r="J14" s="594"/>
      <c r="K14" s="594">
        <f>SUM(K10:K13)</f>
        <v>305</v>
      </c>
      <c r="L14" s="594"/>
      <c r="M14" s="594">
        <f>SUM(M10:M13)</f>
        <v>0</v>
      </c>
      <c r="N14" s="1310"/>
    </row>
    <row r="15" spans="1:14" s="1302" customFormat="1" ht="20.100000000000001" customHeight="1">
      <c r="A15" s="1628"/>
      <c r="B15" s="1629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1310"/>
    </row>
    <row r="16" spans="1:14" s="1302" customFormat="1" ht="20.100000000000001" customHeight="1">
      <c r="A16" s="1628"/>
      <c r="B16" s="1629"/>
      <c r="C16" s="594"/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1310"/>
    </row>
    <row r="17" spans="1:14" s="1302" customFormat="1" ht="20.100000000000001" customHeight="1">
      <c r="A17" s="1630" t="s">
        <v>361</v>
      </c>
      <c r="B17" s="1631"/>
      <c r="C17" s="1631"/>
      <c r="D17" s="1631"/>
      <c r="E17" s="1631"/>
      <c r="F17" s="1308"/>
      <c r="G17" s="1312"/>
      <c r="H17" s="1312"/>
      <c r="I17" s="1312"/>
      <c r="J17" s="1312"/>
      <c r="K17" s="1312"/>
      <c r="L17" s="1312"/>
      <c r="M17" s="1312"/>
      <c r="N17" s="1215" t="s">
        <v>346</v>
      </c>
    </row>
    <row r="18" spans="1:14" s="1302" customFormat="1" ht="20.100000000000001" customHeight="1">
      <c r="A18" s="1626" t="s">
        <v>362</v>
      </c>
      <c r="B18" s="1627"/>
      <c r="C18" s="1313" t="s">
        <v>363</v>
      </c>
      <c r="D18" s="1309">
        <v>1.3</v>
      </c>
      <c r="E18" s="1313" t="s">
        <v>364</v>
      </c>
      <c r="F18" s="1314">
        <f t="shared" ref="F18:G21" si="0">SUM(H18,J18,L18)</f>
        <v>2200</v>
      </c>
      <c r="G18" s="594">
        <f t="shared" si="0"/>
        <v>2860</v>
      </c>
      <c r="H18" s="594">
        <f ca="1">'테라토5-단가적용'!J7</f>
        <v>2200</v>
      </c>
      <c r="I18" s="594">
        <f ca="1">INT(D18*H18)</f>
        <v>2860</v>
      </c>
      <c r="J18" s="594">
        <v>0</v>
      </c>
      <c r="K18" s="594">
        <f>INT(D18*J18)</f>
        <v>0</v>
      </c>
      <c r="L18" s="594">
        <v>0</v>
      </c>
      <c r="M18" s="594">
        <f>INT(D18*L18)</f>
        <v>0</v>
      </c>
      <c r="N18" s="1315"/>
    </row>
    <row r="19" spans="1:14" s="1302" customFormat="1" ht="20.100000000000001" customHeight="1">
      <c r="A19" s="1626" t="s">
        <v>365</v>
      </c>
      <c r="B19" s="1627"/>
      <c r="C19" s="1312"/>
      <c r="D19" s="1309">
        <v>5.0000000000000001E-3</v>
      </c>
      <c r="E19" s="1313" t="s">
        <v>351</v>
      </c>
      <c r="F19" s="1314">
        <f t="shared" si="0"/>
        <v>92218</v>
      </c>
      <c r="G19" s="594">
        <f t="shared" si="0"/>
        <v>461</v>
      </c>
      <c r="H19" s="594">
        <v>0</v>
      </c>
      <c r="I19" s="594">
        <f ca="1">INT(D19*H19)</f>
        <v>0</v>
      </c>
      <c r="J19" s="594">
        <f ca="1">'테라토5-단가적용'!J14</f>
        <v>92218</v>
      </c>
      <c r="K19" s="594">
        <f>INT(D19*J19)</f>
        <v>461</v>
      </c>
      <c r="L19" s="594">
        <v>0</v>
      </c>
      <c r="M19" s="594">
        <f>INT(D19*L19)</f>
        <v>0</v>
      </c>
      <c r="N19" s="1315"/>
    </row>
    <row r="20" spans="1:14" s="1302" customFormat="1" ht="20.100000000000001" customHeight="1">
      <c r="A20" s="1626" t="s">
        <v>360</v>
      </c>
      <c r="B20" s="1627"/>
      <c r="C20" s="1312"/>
      <c r="D20" s="1309">
        <v>1.6E-2</v>
      </c>
      <c r="E20" s="1313" t="s">
        <v>351</v>
      </c>
      <c r="F20" s="1314">
        <f t="shared" si="0"/>
        <v>84404</v>
      </c>
      <c r="G20" s="594">
        <f t="shared" si="0"/>
        <v>1350</v>
      </c>
      <c r="H20" s="594">
        <v>0</v>
      </c>
      <c r="I20" s="594">
        <f ca="1">INT(D20*H20)</f>
        <v>0</v>
      </c>
      <c r="J20" s="594">
        <f ca="1">'테라토5-단가적용'!J13</f>
        <v>84404</v>
      </c>
      <c r="K20" s="594">
        <f>INT(D20*J20)</f>
        <v>1350</v>
      </c>
      <c r="L20" s="594">
        <v>0</v>
      </c>
      <c r="M20" s="594">
        <f>INT(D20*L20)</f>
        <v>0</v>
      </c>
      <c r="N20" s="1315"/>
    </row>
    <row r="21" spans="1:14" s="1302" customFormat="1" ht="20.100000000000001" customHeight="1">
      <c r="A21" s="1626" t="s">
        <v>352</v>
      </c>
      <c r="B21" s="1627"/>
      <c r="C21" s="1312"/>
      <c r="D21" s="1309">
        <v>1.6E-2</v>
      </c>
      <c r="E21" s="1313" t="s">
        <v>351</v>
      </c>
      <c r="F21" s="1314">
        <f t="shared" si="0"/>
        <v>68965</v>
      </c>
      <c r="G21" s="594">
        <f t="shared" si="0"/>
        <v>1103</v>
      </c>
      <c r="H21" s="594">
        <v>0</v>
      </c>
      <c r="I21" s="594">
        <f ca="1">INT(D21*H21)</f>
        <v>0</v>
      </c>
      <c r="J21" s="594">
        <f ca="1">'테라토5-단가적용'!J12</f>
        <v>68965</v>
      </c>
      <c r="K21" s="594">
        <f>INT(D21*J21)</f>
        <v>1103</v>
      </c>
      <c r="L21" s="594">
        <v>0</v>
      </c>
      <c r="M21" s="594">
        <f>INT(D21*L21)</f>
        <v>0</v>
      </c>
      <c r="N21" s="1315"/>
    </row>
    <row r="22" spans="1:14" s="1302" customFormat="1" ht="20.100000000000001" customHeight="1">
      <c r="A22" s="1628" t="s">
        <v>353</v>
      </c>
      <c r="B22" s="1629"/>
      <c r="C22" s="1312"/>
      <c r="D22" s="1312"/>
      <c r="E22" s="1312"/>
      <c r="F22" s="1312"/>
      <c r="G22" s="594">
        <f>SUM(G18:G21)</f>
        <v>5774</v>
      </c>
      <c r="H22" s="594"/>
      <c r="I22" s="594">
        <f>SUM(I18:I21)</f>
        <v>2860</v>
      </c>
      <c r="J22" s="594"/>
      <c r="K22" s="594">
        <f>SUM(K18:K21)</f>
        <v>2914</v>
      </c>
      <c r="L22" s="594"/>
      <c r="M22" s="594">
        <f>SUM(M18:M21)</f>
        <v>0</v>
      </c>
      <c r="N22" s="1315"/>
    </row>
    <row r="23" spans="1:14" s="1302" customFormat="1" ht="20.100000000000001" customHeight="1">
      <c r="A23" s="1628"/>
      <c r="B23" s="1629"/>
      <c r="C23" s="1312"/>
      <c r="D23" s="1312"/>
      <c r="E23" s="1312"/>
      <c r="F23" s="1312"/>
      <c r="G23" s="1312"/>
      <c r="H23" s="1312"/>
      <c r="I23" s="1312"/>
      <c r="J23" s="1312"/>
      <c r="K23" s="1312"/>
      <c r="L23" s="1312"/>
      <c r="M23" s="1312"/>
      <c r="N23" s="1315"/>
    </row>
    <row r="24" spans="1:14" s="1302" customFormat="1" ht="20.100000000000001" customHeight="1">
      <c r="A24" s="1630" t="s">
        <v>366</v>
      </c>
      <c r="B24" s="1631"/>
      <c r="C24" s="1631"/>
      <c r="D24" s="1631"/>
      <c r="E24" s="1631"/>
      <c r="F24" s="1308"/>
      <c r="G24" s="1312"/>
      <c r="H24" s="1312"/>
      <c r="I24" s="1312"/>
      <c r="J24" s="1312"/>
      <c r="K24" s="1312"/>
      <c r="L24" s="1312"/>
      <c r="M24" s="1312"/>
      <c r="N24" s="1215" t="s">
        <v>346</v>
      </c>
    </row>
    <row r="25" spans="1:14" s="1302" customFormat="1" ht="20.100000000000001" customHeight="1">
      <c r="A25" s="1626" t="s">
        <v>367</v>
      </c>
      <c r="B25" s="1627"/>
      <c r="C25" s="1313" t="s">
        <v>368</v>
      </c>
      <c r="D25" s="1316">
        <v>2.4E-2</v>
      </c>
      <c r="E25" s="1313" t="s">
        <v>369</v>
      </c>
      <c r="F25" s="1314">
        <f t="shared" ref="F25:F37" si="1">SUM(H25,J25,L25)</f>
        <v>185000</v>
      </c>
      <c r="G25" s="594">
        <f>SUM(I25,K25,M25)</f>
        <v>4440</v>
      </c>
      <c r="H25" s="594">
        <f ca="1">'테라토5-단가적용'!J9</f>
        <v>185000</v>
      </c>
      <c r="I25" s="594">
        <f t="shared" ref="I25:I37" si="2">INT(D25*H25)</f>
        <v>4440</v>
      </c>
      <c r="J25" s="594">
        <v>0</v>
      </c>
      <c r="K25" s="594">
        <f t="shared" ref="K25:K37" si="3">INT(D25*J25)</f>
        <v>0</v>
      </c>
      <c r="L25" s="594">
        <v>0</v>
      </c>
      <c r="M25" s="594">
        <f t="shared" ref="M25:M37" si="4">INT(D25*L25)</f>
        <v>0</v>
      </c>
      <c r="N25" s="1315"/>
    </row>
    <row r="26" spans="1:14" s="1302" customFormat="1" ht="20.100000000000001" customHeight="1">
      <c r="A26" s="1626" t="s">
        <v>370</v>
      </c>
      <c r="B26" s="1627"/>
      <c r="C26" s="1313" t="s">
        <v>371</v>
      </c>
      <c r="D26" s="1317">
        <v>0.06</v>
      </c>
      <c r="E26" s="1313" t="s">
        <v>372</v>
      </c>
      <c r="F26" s="1314">
        <f t="shared" si="1"/>
        <v>50000</v>
      </c>
      <c r="G26" s="594">
        <f t="shared" ref="G26:G37" si="5">SUM(I26,K26,M26)</f>
        <v>3000</v>
      </c>
      <c r="H26" s="594">
        <f ca="1">'테라토5-단가적용'!J5</f>
        <v>50000</v>
      </c>
      <c r="I26" s="594">
        <f t="shared" si="2"/>
        <v>3000</v>
      </c>
      <c r="J26" s="594">
        <v>0</v>
      </c>
      <c r="K26" s="594">
        <f t="shared" si="3"/>
        <v>0</v>
      </c>
      <c r="L26" s="594">
        <v>0</v>
      </c>
      <c r="M26" s="594">
        <f t="shared" si="4"/>
        <v>0</v>
      </c>
      <c r="N26" s="1315"/>
    </row>
    <row r="27" spans="1:14" s="1302" customFormat="1" ht="20.100000000000001" customHeight="1">
      <c r="A27" s="1626" t="s">
        <v>373</v>
      </c>
      <c r="B27" s="1627"/>
      <c r="C27" s="1313" t="s">
        <v>374</v>
      </c>
      <c r="D27" s="1316">
        <v>4.4999999999999998E-2</v>
      </c>
      <c r="E27" s="1313" t="s">
        <v>375</v>
      </c>
      <c r="F27" s="1314">
        <f t="shared" si="1"/>
        <v>24583.103999999999</v>
      </c>
      <c r="G27" s="594">
        <f t="shared" si="5"/>
        <v>1106</v>
      </c>
      <c r="H27" s="594">
        <v>0</v>
      </c>
      <c r="I27" s="594">
        <f t="shared" si="2"/>
        <v>0</v>
      </c>
      <c r="J27" s="594">
        <v>0</v>
      </c>
      <c r="K27" s="594">
        <f t="shared" si="3"/>
        <v>0</v>
      </c>
      <c r="L27" s="594">
        <f ca="1">'테라토5-장비'!F33</f>
        <v>24583.103999999999</v>
      </c>
      <c r="M27" s="594">
        <f t="shared" si="4"/>
        <v>1106</v>
      </c>
      <c r="N27" s="1315"/>
    </row>
    <row r="28" spans="1:14" s="1302" customFormat="1" ht="20.100000000000001" customHeight="1">
      <c r="A28" s="1626" t="s">
        <v>376</v>
      </c>
      <c r="B28" s="1627"/>
      <c r="C28" s="1313" t="s">
        <v>377</v>
      </c>
      <c r="D28" s="1316">
        <v>4.4999999999999998E-2</v>
      </c>
      <c r="E28" s="1313" t="s">
        <v>375</v>
      </c>
      <c r="F28" s="1314">
        <f t="shared" si="1"/>
        <v>62115.6</v>
      </c>
      <c r="G28" s="594">
        <f t="shared" si="5"/>
        <v>2794</v>
      </c>
      <c r="H28" s="594">
        <f ca="1">'테라토5-장비'!F47</f>
        <v>35879</v>
      </c>
      <c r="I28" s="594">
        <f t="shared" si="2"/>
        <v>1614</v>
      </c>
      <c r="J28" s="594">
        <f ca="1">'테라토5-장비'!F51</f>
        <v>20561</v>
      </c>
      <c r="K28" s="594">
        <f t="shared" si="3"/>
        <v>925</v>
      </c>
      <c r="L28" s="594">
        <f ca="1">'테라토5-장비'!F53</f>
        <v>5675.5999999999995</v>
      </c>
      <c r="M28" s="594">
        <f t="shared" si="4"/>
        <v>255</v>
      </c>
      <c r="N28" s="1315"/>
    </row>
    <row r="29" spans="1:14" s="1302" customFormat="1" ht="20.100000000000001" customHeight="1">
      <c r="A29" s="1626" t="s">
        <v>347</v>
      </c>
      <c r="B29" s="1627"/>
      <c r="C29" s="1313" t="s">
        <v>348</v>
      </c>
      <c r="D29" s="1316">
        <v>4.4999999999999998E-2</v>
      </c>
      <c r="E29" s="1313" t="s">
        <v>375</v>
      </c>
      <c r="F29" s="1314">
        <f t="shared" si="1"/>
        <v>38821</v>
      </c>
      <c r="G29" s="594">
        <f t="shared" si="5"/>
        <v>1746</v>
      </c>
      <c r="H29" s="594">
        <f ca="1">'테라토5-장비'!F7</f>
        <v>14606</v>
      </c>
      <c r="I29" s="594">
        <f t="shared" si="2"/>
        <v>657</v>
      </c>
      <c r="J29" s="594">
        <f ca="1">'테라토5-장비'!F11</f>
        <v>20561</v>
      </c>
      <c r="K29" s="594">
        <f t="shared" si="3"/>
        <v>925</v>
      </c>
      <c r="L29" s="594">
        <f ca="1">'테라토5-장비'!F13</f>
        <v>3654</v>
      </c>
      <c r="M29" s="594">
        <f t="shared" si="4"/>
        <v>164</v>
      </c>
      <c r="N29" s="1315"/>
    </row>
    <row r="30" spans="1:14" s="1302" customFormat="1" ht="20.100000000000001" customHeight="1">
      <c r="A30" s="1626" t="s">
        <v>378</v>
      </c>
      <c r="B30" s="1627"/>
      <c r="C30" s="1313" t="s">
        <v>379</v>
      </c>
      <c r="D30" s="1318">
        <v>5.1999999999999998E-2</v>
      </c>
      <c r="E30" s="1313" t="s">
        <v>375</v>
      </c>
      <c r="F30" s="1314">
        <f t="shared" si="1"/>
        <v>55058</v>
      </c>
      <c r="G30" s="594">
        <f t="shared" si="5"/>
        <v>2861</v>
      </c>
      <c r="H30" s="594">
        <f ca="1">'테라토5-장비'!F107</f>
        <v>7132</v>
      </c>
      <c r="I30" s="594">
        <f t="shared" si="2"/>
        <v>370</v>
      </c>
      <c r="J30" s="594">
        <f ca="1">'테라토5-장비'!F111</f>
        <v>24490</v>
      </c>
      <c r="K30" s="594">
        <f t="shared" si="3"/>
        <v>1273</v>
      </c>
      <c r="L30" s="594">
        <f ca="1">'테라토5-장비'!F113</f>
        <v>23436</v>
      </c>
      <c r="M30" s="594">
        <f t="shared" si="4"/>
        <v>1218</v>
      </c>
      <c r="N30" s="1315"/>
    </row>
    <row r="31" spans="1:14" s="1302" customFormat="1" ht="20.100000000000001" customHeight="1">
      <c r="A31" s="1626" t="s">
        <v>380</v>
      </c>
      <c r="B31" s="1627"/>
      <c r="C31" s="1313"/>
      <c r="D31" s="1318">
        <v>1.4999999999999999E-2</v>
      </c>
      <c r="E31" s="1313" t="s">
        <v>375</v>
      </c>
      <c r="F31" s="1314">
        <f>SUM(H31,J31,L31)</f>
        <v>13582.15</v>
      </c>
      <c r="G31" s="594">
        <f>SUM(I31,K31,M31)</f>
        <v>202</v>
      </c>
      <c r="H31" s="594">
        <f ca="1">'테라토5-장비'!F167</f>
        <v>102.85000000000001</v>
      </c>
      <c r="I31" s="594">
        <f ca="1">INT(D31*H31)</f>
        <v>1</v>
      </c>
      <c r="J31" s="594">
        <f ca="1">'테라토5-장비'!F171</f>
        <v>10260</v>
      </c>
      <c r="K31" s="594">
        <f ca="1">INT(D31*J31)</f>
        <v>153</v>
      </c>
      <c r="L31" s="594">
        <f ca="1">'테라토5-장비'!F173</f>
        <v>3219.2999999999997</v>
      </c>
      <c r="M31" s="594">
        <f>INT(D31*L31)</f>
        <v>48</v>
      </c>
      <c r="N31" s="1315"/>
    </row>
    <row r="32" spans="1:14" s="1302" customFormat="1" ht="20.100000000000001" customHeight="1">
      <c r="A32" s="1626" t="s">
        <v>381</v>
      </c>
      <c r="B32" s="1627"/>
      <c r="C32" s="1313" t="s">
        <v>382</v>
      </c>
      <c r="D32" s="1319">
        <v>8.9999999999999998E-4</v>
      </c>
      <c r="E32" s="1313" t="s">
        <v>383</v>
      </c>
      <c r="F32" s="1314">
        <f t="shared" si="1"/>
        <v>18000</v>
      </c>
      <c r="G32" s="594">
        <f t="shared" si="5"/>
        <v>16</v>
      </c>
      <c r="H32" s="594">
        <f ca="1">'테라토5-단가적용'!J8</f>
        <v>18000</v>
      </c>
      <c r="I32" s="594">
        <f t="shared" si="2"/>
        <v>16</v>
      </c>
      <c r="J32" s="594"/>
      <c r="K32" s="594">
        <f t="shared" si="3"/>
        <v>0</v>
      </c>
      <c r="L32" s="594"/>
      <c r="M32" s="594">
        <f t="shared" si="4"/>
        <v>0</v>
      </c>
      <c r="N32" s="1320"/>
    </row>
    <row r="33" spans="1:14" s="1302" customFormat="1" ht="20.100000000000001" customHeight="1">
      <c r="A33" s="1626" t="s">
        <v>384</v>
      </c>
      <c r="B33" s="1627"/>
      <c r="C33" s="1313" t="s">
        <v>385</v>
      </c>
      <c r="D33" s="1318">
        <v>4.4999999999999998E-2</v>
      </c>
      <c r="E33" s="1313" t="s">
        <v>375</v>
      </c>
      <c r="F33" s="1314">
        <f t="shared" si="1"/>
        <v>41691.918900000004</v>
      </c>
      <c r="G33" s="594">
        <f t="shared" si="5"/>
        <v>1875</v>
      </c>
      <c r="H33" s="594">
        <f ca="1">'테라토5-장비'!F147</f>
        <v>15017</v>
      </c>
      <c r="I33" s="594">
        <f t="shared" si="2"/>
        <v>675</v>
      </c>
      <c r="J33" s="594">
        <f ca="1">'테라토5-장비'!F151</f>
        <v>20557</v>
      </c>
      <c r="K33" s="594">
        <f t="shared" si="3"/>
        <v>925</v>
      </c>
      <c r="L33" s="594">
        <f ca="1">'테라토5-장비'!F153</f>
        <v>6117.9189000000006</v>
      </c>
      <c r="M33" s="594">
        <f t="shared" si="4"/>
        <v>275</v>
      </c>
      <c r="N33" s="1315"/>
    </row>
    <row r="34" spans="1:14" s="1302" customFormat="1" ht="20.100000000000001" customHeight="1">
      <c r="A34" s="1626" t="s">
        <v>365</v>
      </c>
      <c r="B34" s="1627"/>
      <c r="C34" s="1313"/>
      <c r="D34" s="1318">
        <v>5.0000000000000001E-3</v>
      </c>
      <c r="E34" s="1313" t="s">
        <v>351</v>
      </c>
      <c r="F34" s="1314">
        <f t="shared" si="1"/>
        <v>92218</v>
      </c>
      <c r="G34" s="594">
        <f t="shared" si="5"/>
        <v>461</v>
      </c>
      <c r="H34" s="594">
        <v>0</v>
      </c>
      <c r="I34" s="594">
        <f t="shared" si="2"/>
        <v>0</v>
      </c>
      <c r="J34" s="594">
        <f ca="1">'테라토5-단가적용'!J14</f>
        <v>92218</v>
      </c>
      <c r="K34" s="594">
        <f t="shared" si="3"/>
        <v>461</v>
      </c>
      <c r="L34" s="594">
        <v>0</v>
      </c>
      <c r="M34" s="594">
        <f t="shared" si="4"/>
        <v>0</v>
      </c>
      <c r="N34" s="1315"/>
    </row>
    <row r="35" spans="1:14" s="1302" customFormat="1" ht="20.100000000000001" customHeight="1">
      <c r="A35" s="1626" t="s">
        <v>360</v>
      </c>
      <c r="B35" s="1627"/>
      <c r="C35" s="1313"/>
      <c r="D35" s="1318">
        <v>2.1999999999999999E-2</v>
      </c>
      <c r="E35" s="1313" t="s">
        <v>351</v>
      </c>
      <c r="F35" s="1314">
        <f t="shared" si="1"/>
        <v>84404</v>
      </c>
      <c r="G35" s="594">
        <f t="shared" si="5"/>
        <v>1856</v>
      </c>
      <c r="H35" s="594">
        <v>0</v>
      </c>
      <c r="I35" s="594">
        <f t="shared" si="2"/>
        <v>0</v>
      </c>
      <c r="J35" s="594">
        <f ca="1">'테라토5-단가적용'!J13</f>
        <v>84404</v>
      </c>
      <c r="K35" s="594">
        <f t="shared" si="3"/>
        <v>1856</v>
      </c>
      <c r="L35" s="594">
        <v>0</v>
      </c>
      <c r="M35" s="594">
        <f t="shared" si="4"/>
        <v>0</v>
      </c>
      <c r="N35" s="1315"/>
    </row>
    <row r="36" spans="1:14" s="1302" customFormat="1" ht="20.100000000000001" customHeight="1">
      <c r="A36" s="1626" t="s">
        <v>386</v>
      </c>
      <c r="B36" s="1627"/>
      <c r="C36" s="1313"/>
      <c r="D36" s="1318">
        <v>5.0000000000000001E-3</v>
      </c>
      <c r="E36" s="1313" t="s">
        <v>351</v>
      </c>
      <c r="F36" s="1314">
        <f t="shared" si="1"/>
        <v>86521</v>
      </c>
      <c r="G36" s="594">
        <f t="shared" si="5"/>
        <v>432</v>
      </c>
      <c r="H36" s="594">
        <v>0</v>
      </c>
      <c r="I36" s="594">
        <f t="shared" si="2"/>
        <v>0</v>
      </c>
      <c r="J36" s="594">
        <f ca="1">'테라토5-단가적용'!J15</f>
        <v>86521</v>
      </c>
      <c r="K36" s="594">
        <f t="shared" si="3"/>
        <v>432</v>
      </c>
      <c r="L36" s="594">
        <v>0</v>
      </c>
      <c r="M36" s="594">
        <f t="shared" si="4"/>
        <v>0</v>
      </c>
      <c r="N36" s="1315"/>
    </row>
    <row r="37" spans="1:14" s="1302" customFormat="1" ht="20.100000000000001" customHeight="1">
      <c r="A37" s="1626" t="s">
        <v>352</v>
      </c>
      <c r="B37" s="1627"/>
      <c r="C37" s="1313"/>
      <c r="D37" s="1318">
        <v>3.8E-3</v>
      </c>
      <c r="E37" s="1313" t="s">
        <v>351</v>
      </c>
      <c r="F37" s="1314">
        <f t="shared" si="1"/>
        <v>68965</v>
      </c>
      <c r="G37" s="594">
        <f t="shared" si="5"/>
        <v>262</v>
      </c>
      <c r="H37" s="594">
        <v>0</v>
      </c>
      <c r="I37" s="594">
        <f t="shared" si="2"/>
        <v>0</v>
      </c>
      <c r="J37" s="594">
        <f ca="1">'테라토5-단가적용'!J12</f>
        <v>68965</v>
      </c>
      <c r="K37" s="594">
        <f t="shared" si="3"/>
        <v>262</v>
      </c>
      <c r="L37" s="594">
        <v>0</v>
      </c>
      <c r="M37" s="594">
        <f t="shared" si="4"/>
        <v>0</v>
      </c>
      <c r="N37" s="1315"/>
    </row>
    <row r="38" spans="1:14" s="1302" customFormat="1" ht="20.100000000000001" customHeight="1">
      <c r="A38" s="1628" t="s">
        <v>353</v>
      </c>
      <c r="B38" s="1629"/>
      <c r="C38" s="1313"/>
      <c r="D38" s="1312"/>
      <c r="E38" s="1312"/>
      <c r="F38" s="1312"/>
      <c r="G38" s="1321">
        <f>SUM(G25:G37)</f>
        <v>21051</v>
      </c>
      <c r="H38" s="594"/>
      <c r="I38" s="1321">
        <f>SUM(I25:I37)</f>
        <v>10773</v>
      </c>
      <c r="J38" s="594"/>
      <c r="K38" s="1321">
        <f>SUM(K25:K37)</f>
        <v>7212</v>
      </c>
      <c r="L38" s="594"/>
      <c r="M38" s="1321">
        <f>SUM(M25:M37)</f>
        <v>3066</v>
      </c>
      <c r="N38" s="1315"/>
    </row>
    <row r="39" spans="1:14" s="1302" customFormat="1" ht="20.100000000000001" customHeight="1">
      <c r="A39" s="1637"/>
      <c r="B39" s="1638"/>
      <c r="C39" s="1313"/>
      <c r="D39" s="1313"/>
      <c r="E39" s="1313"/>
      <c r="F39" s="1313"/>
      <c r="G39" s="1314"/>
      <c r="H39" s="1313"/>
      <c r="I39" s="1314"/>
      <c r="J39" s="1313"/>
      <c r="K39" s="1314"/>
      <c r="L39" s="1313"/>
      <c r="M39" s="1314"/>
      <c r="N39" s="1320"/>
    </row>
    <row r="40" spans="1:14" s="1302" customFormat="1" ht="20.100000000000001" customHeight="1">
      <c r="A40" s="1626" t="s">
        <v>387</v>
      </c>
      <c r="B40" s="1627"/>
      <c r="C40" s="1313" t="s">
        <v>388</v>
      </c>
      <c r="D40" s="1318"/>
      <c r="E40" s="1313"/>
      <c r="F40" s="1314"/>
      <c r="G40" s="594">
        <f>SUM(I40,K40,M40)</f>
        <v>323</v>
      </c>
      <c r="H40" s="594"/>
      <c r="I40" s="594">
        <f>INT(I38*3%)</f>
        <v>323</v>
      </c>
      <c r="J40" s="594"/>
      <c r="K40" s="594"/>
      <c r="L40" s="594"/>
      <c r="M40" s="594"/>
      <c r="N40" s="1315"/>
    </row>
    <row r="41" spans="1:14" s="1302" customFormat="1" ht="20.100000000000001" customHeight="1">
      <c r="A41" s="1626" t="s">
        <v>389</v>
      </c>
      <c r="B41" s="1627"/>
      <c r="C41" s="1313" t="s">
        <v>390</v>
      </c>
      <c r="D41" s="1318"/>
      <c r="E41" s="1313"/>
      <c r="F41" s="1314"/>
      <c r="G41" s="594">
        <f>SUM(I41,K41,M41)</f>
        <v>144</v>
      </c>
      <c r="H41" s="594"/>
      <c r="I41" s="594"/>
      <c r="J41" s="594"/>
      <c r="K41" s="594">
        <f>INT(K38*2%)</f>
        <v>144</v>
      </c>
      <c r="L41" s="594"/>
      <c r="M41" s="594"/>
      <c r="N41" s="1315"/>
    </row>
    <row r="42" spans="1:14" s="1302" customFormat="1" ht="20.100000000000001" customHeight="1">
      <c r="A42" s="1626"/>
      <c r="B42" s="1627"/>
      <c r="C42" s="1313"/>
      <c r="D42" s="1318"/>
      <c r="E42" s="1313"/>
      <c r="F42" s="1314"/>
      <c r="G42" s="594"/>
      <c r="H42" s="594"/>
      <c r="I42" s="594"/>
      <c r="J42" s="594"/>
      <c r="K42" s="594"/>
      <c r="L42" s="594"/>
      <c r="M42" s="594"/>
      <c r="N42" s="1315"/>
    </row>
    <row r="43" spans="1:14" s="1302" customFormat="1" ht="20.100000000000001" customHeight="1">
      <c r="A43" s="1628" t="s">
        <v>391</v>
      </c>
      <c r="B43" s="1629"/>
      <c r="C43" s="1313"/>
      <c r="D43" s="1318"/>
      <c r="E43" s="1313"/>
      <c r="F43" s="1314"/>
      <c r="G43" s="594">
        <f>SUM(I43,K43,M43)</f>
        <v>29625</v>
      </c>
      <c r="H43" s="594"/>
      <c r="I43" s="594">
        <f>I38+I22+I14+I7+I40+I41</f>
        <v>14483</v>
      </c>
      <c r="J43" s="594"/>
      <c r="K43" s="594">
        <f>K38+K22+K14+K7+K40+K41</f>
        <v>12029</v>
      </c>
      <c r="L43" s="594"/>
      <c r="M43" s="594">
        <f>M38+M22+M14+M7+M40+M41</f>
        <v>3113</v>
      </c>
      <c r="N43" s="1315"/>
    </row>
    <row r="44" spans="1:14" s="1322" customFormat="1" ht="21.95" customHeight="1">
      <c r="A44" s="1639"/>
      <c r="B44" s="1639"/>
    </row>
  </sheetData>
  <mergeCells count="49">
    <mergeCell ref="A39:B39"/>
    <mergeCell ref="A38:B38"/>
    <mergeCell ref="A41:B41"/>
    <mergeCell ref="A37:B37"/>
    <mergeCell ref="A43:B43"/>
    <mergeCell ref="A44:B44"/>
    <mergeCell ref="A40:B40"/>
    <mergeCell ref="A42:B42"/>
    <mergeCell ref="A36:B36"/>
    <mergeCell ref="A33:B33"/>
    <mergeCell ref="A34:B34"/>
    <mergeCell ref="A35:B35"/>
    <mergeCell ref="A32:B32"/>
    <mergeCell ref="A27:B27"/>
    <mergeCell ref="A28:B28"/>
    <mergeCell ref="A29:B29"/>
    <mergeCell ref="A30:B30"/>
    <mergeCell ref="A24:E24"/>
    <mergeCell ref="A23:B23"/>
    <mergeCell ref="A18:B18"/>
    <mergeCell ref="A21:B21"/>
    <mergeCell ref="A31:B31"/>
    <mergeCell ref="A25:B25"/>
    <mergeCell ref="A26:B26"/>
    <mergeCell ref="A11:B11"/>
    <mergeCell ref="A8:B8"/>
    <mergeCell ref="A7:B7"/>
    <mergeCell ref="A6:B6"/>
    <mergeCell ref="N1:N2"/>
    <mergeCell ref="E1:E2"/>
    <mergeCell ref="H1:I1"/>
    <mergeCell ref="J1:K1"/>
    <mergeCell ref="A4:B4"/>
    <mergeCell ref="A5:B5"/>
    <mergeCell ref="L1:M1"/>
    <mergeCell ref="A10:B10"/>
    <mergeCell ref="F1:G1"/>
    <mergeCell ref="A1:B2"/>
    <mergeCell ref="C1:C2"/>
    <mergeCell ref="D1:D2"/>
    <mergeCell ref="A12:B12"/>
    <mergeCell ref="A22:B22"/>
    <mergeCell ref="A13:B13"/>
    <mergeCell ref="A19:B19"/>
    <mergeCell ref="A20:B20"/>
    <mergeCell ref="A17:E17"/>
    <mergeCell ref="A14:B14"/>
    <mergeCell ref="A16:B16"/>
    <mergeCell ref="A15:B15"/>
  </mergeCells>
  <phoneticPr fontId="116" type="noConversion"/>
  <pageMargins left="0.5" right="0.5" top="1.0900000000000001" bottom="0.65" header="0.61" footer="0.39370078740157483"/>
  <pageSetup paperSize="9" orientation="landscape" horizontalDpi="300" verticalDpi="300" r:id="rId1"/>
  <headerFooter alignWithMargins="0">
    <oddHeader>&amp;C&amp;"굴림,보통"&amp;16일  위  대   가  표 (테라토T=5)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80"/>
  <sheetViews>
    <sheetView topLeftCell="A2" zoomScale="75" workbookViewId="0">
      <selection activeCell="A8" sqref="A8"/>
    </sheetView>
  </sheetViews>
  <sheetFormatPr defaultColWidth="8" defaultRowHeight="13.5"/>
  <cols>
    <col min="1" max="1" width="21.109375" style="1289" customWidth="1"/>
    <col min="2" max="2" width="20.88671875" style="1289" customWidth="1"/>
    <col min="3" max="3" width="12.21875" style="1289" customWidth="1"/>
    <col min="4" max="4" width="6.109375" style="1289" customWidth="1"/>
    <col min="5" max="5" width="15" style="1289" customWidth="1"/>
    <col min="6" max="6" width="19.33203125" style="1289" customWidth="1"/>
    <col min="7" max="7" width="21.21875" style="1289" customWidth="1"/>
    <col min="8" max="16384" width="8" style="1289"/>
  </cols>
  <sheetData>
    <row r="1" spans="1:7" ht="21.95" customHeight="1">
      <c r="A1" s="1324" t="s">
        <v>392</v>
      </c>
      <c r="B1" s="1325"/>
      <c r="C1" s="1325"/>
      <c r="D1" s="1325"/>
      <c r="E1" s="1325"/>
      <c r="F1" s="1325"/>
      <c r="G1" s="1326"/>
    </row>
    <row r="2" spans="1:7" ht="21.95" customHeight="1">
      <c r="A2" s="1327"/>
      <c r="B2" s="1328"/>
      <c r="C2" s="1328"/>
      <c r="D2" s="1328"/>
      <c r="E2" s="1328"/>
      <c r="F2" s="1328"/>
      <c r="G2" s="1329"/>
    </row>
    <row r="3" spans="1:7" ht="21.95" customHeight="1">
      <c r="A3" s="1330" t="s">
        <v>393</v>
      </c>
      <c r="B3" s="1331"/>
      <c r="C3" s="1331"/>
      <c r="D3" s="1331"/>
      <c r="E3" s="1331"/>
      <c r="F3" s="1331"/>
      <c r="G3" s="1332"/>
    </row>
    <row r="4" spans="1:7" ht="21.95" customHeight="1">
      <c r="A4" s="1333" t="s">
        <v>394</v>
      </c>
      <c r="B4" s="1334" t="s">
        <v>395</v>
      </c>
      <c r="C4" s="1334" t="s">
        <v>396</v>
      </c>
      <c r="D4" s="1334" t="s">
        <v>397</v>
      </c>
      <c r="E4" s="1334" t="s">
        <v>398</v>
      </c>
      <c r="F4" s="1334" t="s">
        <v>399</v>
      </c>
      <c r="G4" s="1335" t="s">
        <v>400</v>
      </c>
    </row>
    <row r="5" spans="1:7" ht="21.95" customHeight="1">
      <c r="A5" s="1336" t="s">
        <v>401</v>
      </c>
      <c r="B5" s="1337" t="s">
        <v>402</v>
      </c>
      <c r="C5" s="1338">
        <v>8.6999999999999993</v>
      </c>
      <c r="D5" s="1337" t="s">
        <v>403</v>
      </c>
      <c r="E5" s="1339">
        <f ca="1">'테라토5-단가적용'!J10</f>
        <v>1322</v>
      </c>
      <c r="F5" s="1339">
        <f>ROUNDDOWN(C5*E5,0)</f>
        <v>11501</v>
      </c>
      <c r="G5" s="1340"/>
    </row>
    <row r="6" spans="1:7" ht="21.95" customHeight="1">
      <c r="A6" s="1341"/>
      <c r="B6" s="1342" t="s">
        <v>404</v>
      </c>
      <c r="C6" s="1343">
        <v>24</v>
      </c>
      <c r="D6" s="1342" t="s">
        <v>405</v>
      </c>
      <c r="E6" s="1344"/>
      <c r="F6" s="1344">
        <f>ROUNDDOWN(F5*27%,0)</f>
        <v>3105</v>
      </c>
      <c r="G6" s="1345"/>
    </row>
    <row r="7" spans="1:7" ht="21.95" customHeight="1">
      <c r="A7" s="1346"/>
      <c r="B7" s="1347" t="s">
        <v>406</v>
      </c>
      <c r="C7" s="1348"/>
      <c r="D7" s="1347"/>
      <c r="E7" s="1348"/>
      <c r="F7" s="1349">
        <f>SUM(F5:F6)</f>
        <v>14606</v>
      </c>
      <c r="G7" s="1350"/>
    </row>
    <row r="8" spans="1:7" ht="21.95" customHeight="1">
      <c r="A8" s="1351" t="s">
        <v>407</v>
      </c>
      <c r="B8" s="1352" t="s">
        <v>408</v>
      </c>
      <c r="C8" s="1353">
        <v>1</v>
      </c>
      <c r="D8" s="1352" t="s">
        <v>409</v>
      </c>
      <c r="E8" s="1354">
        <f ca="1">'테라토5-장비기준'!S11</f>
        <v>20561</v>
      </c>
      <c r="F8" s="1354">
        <f>ROUNDDOWN(C8*E8,0)</f>
        <v>20561</v>
      </c>
      <c r="G8" s="1355"/>
    </row>
    <row r="9" spans="1:7" ht="21.95" customHeight="1">
      <c r="A9" s="1341"/>
      <c r="B9" s="1342" t="s">
        <v>410</v>
      </c>
      <c r="C9" s="1356">
        <v>0</v>
      </c>
      <c r="D9" s="1342" t="s">
        <v>409</v>
      </c>
      <c r="E9" s="1357">
        <f ca="1">'테라토5-장비기준'!S12</f>
        <v>11517</v>
      </c>
      <c r="F9" s="1357">
        <f>ROUNDDOWN(C9*E9,0)</f>
        <v>0</v>
      </c>
      <c r="G9" s="1345"/>
    </row>
    <row r="10" spans="1:7" ht="21.95" customHeight="1">
      <c r="A10" s="1341"/>
      <c r="B10" s="1342" t="s">
        <v>411</v>
      </c>
      <c r="C10" s="1356">
        <v>0</v>
      </c>
      <c r="D10" s="1342" t="s">
        <v>409</v>
      </c>
      <c r="E10" s="1357">
        <f ca="1">'테라토5-장비기준'!S13</f>
        <v>19656</v>
      </c>
      <c r="F10" s="1357">
        <f>ROUNDDOWN(C10*E10,0)</f>
        <v>0</v>
      </c>
      <c r="G10" s="1345"/>
    </row>
    <row r="11" spans="1:7" ht="21.95" customHeight="1">
      <c r="A11" s="1346"/>
      <c r="B11" s="1347" t="s">
        <v>406</v>
      </c>
      <c r="C11" s="1348"/>
      <c r="D11" s="1347"/>
      <c r="E11" s="1348"/>
      <c r="F11" s="1349">
        <f>SUM(F8:F10)</f>
        <v>20561</v>
      </c>
      <c r="G11" s="1350"/>
    </row>
    <row r="12" spans="1:7" ht="21.95" customHeight="1">
      <c r="A12" s="1351" t="s">
        <v>412</v>
      </c>
      <c r="B12" s="1352" t="s">
        <v>413</v>
      </c>
      <c r="C12" s="1353">
        <v>0.22339999999999999</v>
      </c>
      <c r="D12" s="1352"/>
      <c r="E12" s="1358">
        <v>16360</v>
      </c>
      <c r="F12" s="1358">
        <f>ROUNDDOWN(C12*E12,0)</f>
        <v>3654</v>
      </c>
      <c r="G12" s="1355"/>
    </row>
    <row r="13" spans="1:7" ht="21.95" customHeight="1">
      <c r="A13" s="1346"/>
      <c r="B13" s="1347" t="s">
        <v>406</v>
      </c>
      <c r="C13" s="1348"/>
      <c r="D13" s="1347"/>
      <c r="E13" s="1348"/>
      <c r="F13" s="1349">
        <f>SUM(F12)</f>
        <v>3654</v>
      </c>
      <c r="G13" s="1350"/>
    </row>
    <row r="14" spans="1:7" ht="21.95" customHeight="1">
      <c r="A14" s="1359"/>
      <c r="B14" s="1360"/>
      <c r="C14" s="1361"/>
      <c r="D14" s="1360"/>
      <c r="E14" s="1361"/>
      <c r="F14" s="1361"/>
      <c r="G14" s="1362"/>
    </row>
    <row r="15" spans="1:7" ht="21.95" customHeight="1">
      <c r="A15" s="1359"/>
      <c r="B15" s="1360"/>
      <c r="C15" s="1361"/>
      <c r="D15" s="1360"/>
      <c r="E15" s="1361"/>
      <c r="F15" s="1361"/>
      <c r="G15" s="1362"/>
    </row>
    <row r="16" spans="1:7" ht="21.95" customHeight="1">
      <c r="A16" s="1359"/>
      <c r="B16" s="1360"/>
      <c r="C16" s="1361"/>
      <c r="D16" s="1360"/>
      <c r="E16" s="1361"/>
      <c r="F16" s="1361"/>
      <c r="G16" s="1362"/>
    </row>
    <row r="17" spans="1:7" ht="21.95" customHeight="1">
      <c r="A17" s="1359"/>
      <c r="B17" s="1360"/>
      <c r="C17" s="1361"/>
      <c r="D17" s="1360"/>
      <c r="E17" s="1361"/>
      <c r="F17" s="1361"/>
      <c r="G17" s="1362"/>
    </row>
    <row r="18" spans="1:7" ht="21.95" customHeight="1">
      <c r="A18" s="1359"/>
      <c r="B18" s="1360"/>
      <c r="C18" s="1361"/>
      <c r="D18" s="1360"/>
      <c r="E18" s="1361"/>
      <c r="F18" s="1361"/>
      <c r="G18" s="1362"/>
    </row>
    <row r="19" spans="1:7" ht="21.95" customHeight="1">
      <c r="A19" s="1359"/>
      <c r="B19" s="1360"/>
      <c r="C19" s="1361"/>
      <c r="D19" s="1360"/>
      <c r="E19" s="1361"/>
      <c r="F19" s="1361"/>
      <c r="G19" s="1362"/>
    </row>
    <row r="20" spans="1:7" ht="21.95" customHeight="1">
      <c r="A20" s="1333" t="s">
        <v>414</v>
      </c>
      <c r="B20" s="1334"/>
      <c r="C20" s="1363"/>
      <c r="D20" s="1334"/>
      <c r="E20" s="1363"/>
      <c r="F20" s="1364">
        <f>F7+F11+F13</f>
        <v>38821</v>
      </c>
      <c r="G20" s="1365"/>
    </row>
    <row r="21" spans="1:7" ht="21.95" customHeight="1">
      <c r="A21" s="1324" t="s">
        <v>415</v>
      </c>
      <c r="B21" s="1325"/>
      <c r="C21" s="1325"/>
      <c r="D21" s="1325"/>
      <c r="E21" s="1325"/>
      <c r="F21" s="1325"/>
      <c r="G21" s="1326"/>
    </row>
    <row r="22" spans="1:7" ht="21.95" customHeight="1">
      <c r="A22" s="1327"/>
      <c r="B22" s="1328"/>
      <c r="C22" s="1328"/>
      <c r="D22" s="1328"/>
      <c r="E22" s="1328"/>
      <c r="F22" s="1328"/>
      <c r="G22" s="1329"/>
    </row>
    <row r="23" spans="1:7" ht="21.95" customHeight="1">
      <c r="A23" s="1330" t="s">
        <v>416</v>
      </c>
      <c r="B23" s="1331"/>
      <c r="C23" s="1331"/>
      <c r="D23" s="1331"/>
      <c r="E23" s="1331"/>
      <c r="F23" s="1331"/>
      <c r="G23" s="1332"/>
    </row>
    <row r="24" spans="1:7" ht="21.95" customHeight="1">
      <c r="A24" s="1333" t="s">
        <v>394</v>
      </c>
      <c r="B24" s="1334" t="s">
        <v>395</v>
      </c>
      <c r="C24" s="1334" t="s">
        <v>396</v>
      </c>
      <c r="D24" s="1334" t="s">
        <v>397</v>
      </c>
      <c r="E24" s="1334" t="s">
        <v>398</v>
      </c>
      <c r="F24" s="1334" t="s">
        <v>399</v>
      </c>
      <c r="G24" s="1335" t="s">
        <v>400</v>
      </c>
    </row>
    <row r="25" spans="1:7" ht="21.95" customHeight="1">
      <c r="A25" s="1336" t="s">
        <v>401</v>
      </c>
      <c r="B25" s="1337" t="s">
        <v>402</v>
      </c>
      <c r="C25" s="1366">
        <v>0</v>
      </c>
      <c r="D25" s="1337" t="s">
        <v>403</v>
      </c>
      <c r="E25" s="1339">
        <f ca="1">'테라토5-단가적용'!J10</f>
        <v>1322</v>
      </c>
      <c r="F25" s="1339">
        <f>ROUNDDOWN(C25*E25,0)</f>
        <v>0</v>
      </c>
      <c r="G25" s="1340"/>
    </row>
    <row r="26" spans="1:7" ht="21.95" customHeight="1">
      <c r="A26" s="1341"/>
      <c r="B26" s="1342" t="s">
        <v>404</v>
      </c>
      <c r="C26" s="1356">
        <v>0</v>
      </c>
      <c r="D26" s="1342" t="s">
        <v>405</v>
      </c>
      <c r="E26" s="1344"/>
      <c r="F26" s="1344">
        <f>ROUNDDOWN(F25*25%,0)</f>
        <v>0</v>
      </c>
      <c r="G26" s="1345"/>
    </row>
    <row r="27" spans="1:7" ht="21.95" customHeight="1">
      <c r="A27" s="1346"/>
      <c r="B27" s="1347" t="s">
        <v>406</v>
      </c>
      <c r="C27" s="1348"/>
      <c r="D27" s="1347"/>
      <c r="E27" s="1348"/>
      <c r="F27" s="1349">
        <f>SUM(F25:F26)</f>
        <v>0</v>
      </c>
      <c r="G27" s="1350"/>
    </row>
    <row r="28" spans="1:7" ht="21.95" customHeight="1">
      <c r="A28" s="1351" t="s">
        <v>407</v>
      </c>
      <c r="B28" s="1352" t="s">
        <v>408</v>
      </c>
      <c r="C28" s="1353">
        <v>1</v>
      </c>
      <c r="D28" s="1352" t="s">
        <v>409</v>
      </c>
      <c r="E28" s="1354">
        <f ca="1">'테라토5-장비기준'!S31</f>
        <v>0</v>
      </c>
      <c r="F28" s="1354">
        <f>ROUNDDOWN(C28*E28,0)</f>
        <v>0</v>
      </c>
      <c r="G28" s="1355"/>
    </row>
    <row r="29" spans="1:7" ht="21.95" customHeight="1">
      <c r="A29" s="1341"/>
      <c r="B29" s="1342" t="s">
        <v>410</v>
      </c>
      <c r="C29" s="1356">
        <v>0</v>
      </c>
      <c r="D29" s="1342" t="s">
        <v>409</v>
      </c>
      <c r="E29" s="1357">
        <f ca="1">'테라토5-장비기준'!S32</f>
        <v>0</v>
      </c>
      <c r="F29" s="1357">
        <f>ROUNDDOWN(C29*E29,0)</f>
        <v>0</v>
      </c>
      <c r="G29" s="1345"/>
    </row>
    <row r="30" spans="1:7" ht="21.95" customHeight="1">
      <c r="A30" s="1341"/>
      <c r="B30" s="1342" t="s">
        <v>411</v>
      </c>
      <c r="C30" s="1356">
        <v>0</v>
      </c>
      <c r="D30" s="1342" t="s">
        <v>409</v>
      </c>
      <c r="E30" s="1357">
        <f ca="1">'테라토5-장비기준'!S33</f>
        <v>0</v>
      </c>
      <c r="F30" s="1357">
        <f>ROUNDDOWN(C30*E30,0)</f>
        <v>0</v>
      </c>
      <c r="G30" s="1345"/>
    </row>
    <row r="31" spans="1:7" ht="21.95" customHeight="1">
      <c r="A31" s="1346"/>
      <c r="B31" s="1347" t="s">
        <v>406</v>
      </c>
      <c r="C31" s="1348"/>
      <c r="D31" s="1347"/>
      <c r="E31" s="1348"/>
      <c r="F31" s="1349">
        <f>SUM(F28:F30)</f>
        <v>0</v>
      </c>
      <c r="G31" s="1350"/>
    </row>
    <row r="32" spans="1:7" ht="21.95" customHeight="1">
      <c r="A32" s="1351" t="s">
        <v>412</v>
      </c>
      <c r="B32" s="1352" t="s">
        <v>413</v>
      </c>
      <c r="C32" s="1353">
        <v>0.42209999999999998</v>
      </c>
      <c r="D32" s="1352"/>
      <c r="E32" s="1358">
        <v>58240</v>
      </c>
      <c r="F32" s="1357">
        <f>E32*C32</f>
        <v>24583.103999999999</v>
      </c>
      <c r="G32" s="1355"/>
    </row>
    <row r="33" spans="1:7" ht="21.95" customHeight="1">
      <c r="A33" s="1346"/>
      <c r="B33" s="1347" t="s">
        <v>406</v>
      </c>
      <c r="C33" s="1348"/>
      <c r="D33" s="1347"/>
      <c r="E33" s="1348"/>
      <c r="F33" s="1349">
        <f>SUM(F32)</f>
        <v>24583.103999999999</v>
      </c>
      <c r="G33" s="1350"/>
    </row>
    <row r="34" spans="1:7" ht="21.95" customHeight="1">
      <c r="A34" s="1359"/>
      <c r="B34" s="1360"/>
      <c r="C34" s="1361"/>
      <c r="D34" s="1360"/>
      <c r="E34" s="1361"/>
      <c r="F34" s="1361"/>
      <c r="G34" s="1362"/>
    </row>
    <row r="35" spans="1:7" ht="21.95" customHeight="1">
      <c r="A35" s="1359"/>
      <c r="B35" s="1360"/>
      <c r="C35" s="1361"/>
      <c r="D35" s="1360"/>
      <c r="E35" s="1361"/>
      <c r="F35" s="1361"/>
      <c r="G35" s="1362"/>
    </row>
    <row r="36" spans="1:7" ht="21.95" customHeight="1">
      <c r="A36" s="1359"/>
      <c r="B36" s="1360"/>
      <c r="C36" s="1361"/>
      <c r="D36" s="1360"/>
      <c r="E36" s="1361"/>
      <c r="F36" s="1361"/>
      <c r="G36" s="1362"/>
    </row>
    <row r="37" spans="1:7" ht="21.95" customHeight="1">
      <c r="A37" s="1359"/>
      <c r="B37" s="1360"/>
      <c r="C37" s="1361"/>
      <c r="D37" s="1360"/>
      <c r="E37" s="1361"/>
      <c r="F37" s="1361"/>
      <c r="G37" s="1362"/>
    </row>
    <row r="38" spans="1:7" ht="21.95" customHeight="1">
      <c r="A38" s="1359"/>
      <c r="B38" s="1360"/>
      <c r="C38" s="1361"/>
      <c r="D38" s="1360"/>
      <c r="E38" s="1361"/>
      <c r="F38" s="1361"/>
      <c r="G38" s="1362"/>
    </row>
    <row r="39" spans="1:7" ht="21.95" customHeight="1">
      <c r="A39" s="1359"/>
      <c r="B39" s="1360"/>
      <c r="C39" s="1361"/>
      <c r="D39" s="1360"/>
      <c r="E39" s="1361"/>
      <c r="F39" s="1361"/>
      <c r="G39" s="1362"/>
    </row>
    <row r="40" spans="1:7" ht="21.95" customHeight="1">
      <c r="A40" s="1333" t="s">
        <v>414</v>
      </c>
      <c r="B40" s="1334"/>
      <c r="C40" s="1363"/>
      <c r="D40" s="1334"/>
      <c r="E40" s="1363"/>
      <c r="F40" s="1364">
        <f>F27+F31+F33</f>
        <v>24583.103999999999</v>
      </c>
      <c r="G40" s="1365"/>
    </row>
    <row r="41" spans="1:7" ht="21.95" customHeight="1">
      <c r="A41" s="1324" t="s">
        <v>417</v>
      </c>
      <c r="B41" s="1325"/>
      <c r="C41" s="1325"/>
      <c r="D41" s="1325"/>
      <c r="E41" s="1325"/>
      <c r="F41" s="1325"/>
      <c r="G41" s="1326"/>
    </row>
    <row r="42" spans="1:7" ht="21.95" customHeight="1">
      <c r="A42" s="1327"/>
      <c r="B42" s="1328"/>
      <c r="C42" s="1328"/>
      <c r="D42" s="1328"/>
      <c r="E42" s="1328"/>
      <c r="F42" s="1328"/>
      <c r="G42" s="1329"/>
    </row>
    <row r="43" spans="1:7" ht="21.95" customHeight="1">
      <c r="A43" s="1330" t="s">
        <v>418</v>
      </c>
      <c r="B43" s="1331"/>
      <c r="C43" s="1331"/>
      <c r="D43" s="1331"/>
      <c r="E43" s="1331"/>
      <c r="F43" s="1331"/>
      <c r="G43" s="1332"/>
    </row>
    <row r="44" spans="1:7" ht="21.95" customHeight="1">
      <c r="A44" s="1333" t="s">
        <v>394</v>
      </c>
      <c r="B44" s="1334" t="s">
        <v>395</v>
      </c>
      <c r="C44" s="1334" t="s">
        <v>396</v>
      </c>
      <c r="D44" s="1334" t="s">
        <v>397</v>
      </c>
      <c r="E44" s="1334" t="s">
        <v>398</v>
      </c>
      <c r="F44" s="1334" t="s">
        <v>399</v>
      </c>
      <c r="G44" s="1335" t="s">
        <v>400</v>
      </c>
    </row>
    <row r="45" spans="1:7" ht="21.95" customHeight="1">
      <c r="A45" s="1336" t="s">
        <v>401</v>
      </c>
      <c r="B45" s="1337" t="s">
        <v>402</v>
      </c>
      <c r="C45" s="1338">
        <v>23</v>
      </c>
      <c r="D45" s="1337" t="s">
        <v>403</v>
      </c>
      <c r="E45" s="1339">
        <f ca="1">'테라토5-단가적용'!J10</f>
        <v>1322</v>
      </c>
      <c r="F45" s="1339">
        <f>ROUNDDOWN(C45*E45,0)</f>
        <v>30406</v>
      </c>
      <c r="G45" s="1340"/>
    </row>
    <row r="46" spans="1:7" ht="21.95" customHeight="1">
      <c r="A46" s="1341"/>
      <c r="B46" s="1342" t="s">
        <v>404</v>
      </c>
      <c r="C46" s="1343">
        <v>16</v>
      </c>
      <c r="D46" s="1342" t="s">
        <v>405</v>
      </c>
      <c r="E46" s="1344"/>
      <c r="F46" s="1344">
        <f>ROUNDDOWN(F45*18%,0)</f>
        <v>5473</v>
      </c>
      <c r="G46" s="1345"/>
    </row>
    <row r="47" spans="1:7" ht="21.95" customHeight="1">
      <c r="A47" s="1346"/>
      <c r="B47" s="1347" t="s">
        <v>406</v>
      </c>
      <c r="C47" s="1348"/>
      <c r="D47" s="1347"/>
      <c r="E47" s="1348"/>
      <c r="F47" s="1349">
        <f>SUM(F45:F46)</f>
        <v>35879</v>
      </c>
      <c r="G47" s="1350"/>
    </row>
    <row r="48" spans="1:7" ht="21.95" customHeight="1">
      <c r="A48" s="1351" t="s">
        <v>407</v>
      </c>
      <c r="B48" s="1352" t="s">
        <v>408</v>
      </c>
      <c r="C48" s="1353">
        <v>1</v>
      </c>
      <c r="D48" s="1352" t="s">
        <v>409</v>
      </c>
      <c r="E48" s="1354">
        <f ca="1">'테라토5-장비기준'!S11</f>
        <v>20561</v>
      </c>
      <c r="F48" s="1354">
        <f>ROUNDDOWN(C48*E48,0)</f>
        <v>20561</v>
      </c>
      <c r="G48" s="1355"/>
    </row>
    <row r="49" spans="1:7" ht="21.95" customHeight="1">
      <c r="A49" s="1341"/>
      <c r="B49" s="1342" t="s">
        <v>410</v>
      </c>
      <c r="C49" s="1356">
        <v>0</v>
      </c>
      <c r="D49" s="1342" t="s">
        <v>409</v>
      </c>
      <c r="E49" s="1357">
        <f ca="1">'테라토5-장비기준'!S12</f>
        <v>11517</v>
      </c>
      <c r="F49" s="1357">
        <f>ROUNDDOWN(C49*E49,0)</f>
        <v>0</v>
      </c>
      <c r="G49" s="1345"/>
    </row>
    <row r="50" spans="1:7" ht="21.95" customHeight="1">
      <c r="A50" s="1341"/>
      <c r="B50" s="1342" t="s">
        <v>411</v>
      </c>
      <c r="C50" s="1356">
        <v>0</v>
      </c>
      <c r="D50" s="1342" t="s">
        <v>409</v>
      </c>
      <c r="E50" s="1357">
        <f ca="1">'테라토5-장비기준'!S13</f>
        <v>19656</v>
      </c>
      <c r="F50" s="1357">
        <f>ROUNDDOWN(C50*E50,0)</f>
        <v>0</v>
      </c>
      <c r="G50" s="1345"/>
    </row>
    <row r="51" spans="1:7" ht="21.95" customHeight="1">
      <c r="A51" s="1346"/>
      <c r="B51" s="1347" t="s">
        <v>406</v>
      </c>
      <c r="C51" s="1348"/>
      <c r="D51" s="1347"/>
      <c r="E51" s="1348"/>
      <c r="F51" s="1349">
        <f>SUM(F48:F50)</f>
        <v>20561</v>
      </c>
      <c r="G51" s="1350"/>
    </row>
    <row r="52" spans="1:7" ht="21.95" customHeight="1">
      <c r="A52" s="1351" t="s">
        <v>412</v>
      </c>
      <c r="B52" s="1352" t="s">
        <v>413</v>
      </c>
      <c r="C52" s="1353">
        <v>0.20269999999999999</v>
      </c>
      <c r="D52" s="1352"/>
      <c r="E52" s="1358">
        <v>28000</v>
      </c>
      <c r="F52" s="1358">
        <f>E52*C52</f>
        <v>5675.5999999999995</v>
      </c>
      <c r="G52" s="1355"/>
    </row>
    <row r="53" spans="1:7" ht="21.95" customHeight="1">
      <c r="A53" s="1346"/>
      <c r="B53" s="1347" t="s">
        <v>406</v>
      </c>
      <c r="C53" s="1348"/>
      <c r="D53" s="1347"/>
      <c r="E53" s="1348"/>
      <c r="F53" s="1349">
        <f>SUM(F52)</f>
        <v>5675.5999999999995</v>
      </c>
      <c r="G53" s="1350"/>
    </row>
    <row r="54" spans="1:7" ht="21.95" customHeight="1">
      <c r="A54" s="1359"/>
      <c r="B54" s="1360"/>
      <c r="C54" s="1361"/>
      <c r="D54" s="1360"/>
      <c r="E54" s="1361"/>
      <c r="F54" s="1361"/>
      <c r="G54" s="1362"/>
    </row>
    <row r="55" spans="1:7" ht="21.95" customHeight="1">
      <c r="A55" s="1359"/>
      <c r="B55" s="1360"/>
      <c r="C55" s="1361"/>
      <c r="D55" s="1360"/>
      <c r="E55" s="1361"/>
      <c r="F55" s="1361"/>
      <c r="G55" s="1362"/>
    </row>
    <row r="56" spans="1:7" ht="21.95" customHeight="1">
      <c r="A56" s="1359"/>
      <c r="B56" s="1360"/>
      <c r="C56" s="1361"/>
      <c r="D56" s="1360"/>
      <c r="E56" s="1361"/>
      <c r="F56" s="1361"/>
      <c r="G56" s="1362"/>
    </row>
    <row r="57" spans="1:7" ht="21.95" customHeight="1">
      <c r="A57" s="1359"/>
      <c r="B57" s="1360"/>
      <c r="C57" s="1361"/>
      <c r="D57" s="1360"/>
      <c r="E57" s="1361"/>
      <c r="F57" s="1361"/>
      <c r="G57" s="1362"/>
    </row>
    <row r="58" spans="1:7" ht="21.95" customHeight="1">
      <c r="A58" s="1359"/>
      <c r="B58" s="1360"/>
      <c r="C58" s="1361"/>
      <c r="D58" s="1360"/>
      <c r="E58" s="1361"/>
      <c r="F58" s="1361"/>
      <c r="G58" s="1362"/>
    </row>
    <row r="59" spans="1:7" ht="21.95" customHeight="1">
      <c r="A59" s="1359"/>
      <c r="B59" s="1360"/>
      <c r="C59" s="1361"/>
      <c r="D59" s="1360"/>
      <c r="E59" s="1361"/>
      <c r="F59" s="1361"/>
      <c r="G59" s="1362"/>
    </row>
    <row r="60" spans="1:7" ht="21.95" customHeight="1">
      <c r="A60" s="1333" t="s">
        <v>414</v>
      </c>
      <c r="B60" s="1334"/>
      <c r="C60" s="1363"/>
      <c r="D60" s="1334"/>
      <c r="E60" s="1363"/>
      <c r="F60" s="1364">
        <f>F47+F51+F53</f>
        <v>62115.6</v>
      </c>
      <c r="G60" s="1365"/>
    </row>
    <row r="61" spans="1:7" ht="21.95" customHeight="1">
      <c r="A61" s="1367" t="s">
        <v>419</v>
      </c>
      <c r="B61" s="1325"/>
      <c r="C61" s="1325"/>
      <c r="D61" s="1325"/>
      <c r="E61" s="1325"/>
      <c r="F61" s="1325"/>
      <c r="G61" s="1326"/>
    </row>
    <row r="62" spans="1:7" ht="21.95" customHeight="1">
      <c r="A62" s="1327"/>
      <c r="B62" s="1328"/>
      <c r="C62" s="1328"/>
      <c r="D62" s="1328"/>
      <c r="E62" s="1328"/>
      <c r="F62" s="1328"/>
      <c r="G62" s="1329"/>
    </row>
    <row r="63" spans="1:7" ht="21.95" customHeight="1">
      <c r="A63" s="1330" t="s">
        <v>420</v>
      </c>
      <c r="B63" s="1331"/>
      <c r="C63" s="1331"/>
      <c r="D63" s="1331"/>
      <c r="E63" s="1331"/>
      <c r="F63" s="1331"/>
      <c r="G63" s="1332"/>
    </row>
    <row r="64" spans="1:7" ht="21.95" customHeight="1">
      <c r="A64" s="1333" t="s">
        <v>394</v>
      </c>
      <c r="B64" s="1334" t="s">
        <v>395</v>
      </c>
      <c r="C64" s="1334" t="s">
        <v>396</v>
      </c>
      <c r="D64" s="1334" t="s">
        <v>397</v>
      </c>
      <c r="E64" s="1334" t="s">
        <v>398</v>
      </c>
      <c r="F64" s="1334" t="s">
        <v>399</v>
      </c>
      <c r="G64" s="1335" t="s">
        <v>400</v>
      </c>
    </row>
    <row r="65" spans="1:7" ht="21.95" customHeight="1">
      <c r="A65" s="1336" t="s">
        <v>401</v>
      </c>
      <c r="B65" s="1337" t="s">
        <v>402</v>
      </c>
      <c r="C65" s="1338">
        <v>9.9</v>
      </c>
      <c r="D65" s="1337" t="s">
        <v>403</v>
      </c>
      <c r="E65" s="1339">
        <f ca="1">'테라토5-장비기준'!E8</f>
        <v>1322</v>
      </c>
      <c r="F65" s="1339">
        <f>ROUNDDOWN(C65*E65,0)</f>
        <v>13087</v>
      </c>
      <c r="G65" s="1340"/>
    </row>
    <row r="66" spans="1:7" ht="21.95" customHeight="1">
      <c r="A66" s="1341"/>
      <c r="B66" s="1342" t="s">
        <v>404</v>
      </c>
      <c r="C66" s="1343">
        <v>22</v>
      </c>
      <c r="D66" s="1342" t="s">
        <v>405</v>
      </c>
      <c r="E66" s="1344"/>
      <c r="F66" s="1344">
        <f>ROUNDDOWN(F65*25%,0)</f>
        <v>3271</v>
      </c>
      <c r="G66" s="1345"/>
    </row>
    <row r="67" spans="1:7" ht="21.95" customHeight="1">
      <c r="A67" s="1346"/>
      <c r="B67" s="1347" t="s">
        <v>406</v>
      </c>
      <c r="C67" s="1348"/>
      <c r="D67" s="1347"/>
      <c r="E67" s="1348"/>
      <c r="F67" s="1349">
        <f>SUM(F65:F66)</f>
        <v>16358</v>
      </c>
      <c r="G67" s="1350"/>
    </row>
    <row r="68" spans="1:7" ht="21.95" customHeight="1">
      <c r="A68" s="1351" t="s">
        <v>407</v>
      </c>
      <c r="B68" s="1352" t="s">
        <v>408</v>
      </c>
      <c r="C68" s="1353">
        <v>0.20832999999999999</v>
      </c>
      <c r="D68" s="1352" t="s">
        <v>409</v>
      </c>
      <c r="E68" s="1354">
        <f ca="1">'테라토5-장비기준'!E11</f>
        <v>98693</v>
      </c>
      <c r="F68" s="1354">
        <f>ROUNDDOWN(C68*E68,0)</f>
        <v>20560</v>
      </c>
      <c r="G68" s="1355"/>
    </row>
    <row r="69" spans="1:7" ht="21.95" customHeight="1">
      <c r="A69" s="1341"/>
      <c r="B69" s="1342" t="s">
        <v>410</v>
      </c>
      <c r="C69" s="1343"/>
      <c r="D69" s="1342" t="s">
        <v>409</v>
      </c>
      <c r="E69" s="1357"/>
      <c r="F69" s="1357">
        <f>ROUNDDOWN(C69*E69,0)</f>
        <v>0</v>
      </c>
      <c r="G69" s="1345"/>
    </row>
    <row r="70" spans="1:7" ht="21.95" customHeight="1">
      <c r="A70" s="1341"/>
      <c r="B70" s="1342" t="s">
        <v>411</v>
      </c>
      <c r="C70" s="1343">
        <v>4.1660000000000003E-2</v>
      </c>
      <c r="D70" s="1342" t="s">
        <v>409</v>
      </c>
      <c r="E70" s="1357">
        <f ca="1">'테라토5-장비기준'!E13</f>
        <v>94350</v>
      </c>
      <c r="F70" s="1357">
        <f>ROUNDDOWN(C70*E70,0)</f>
        <v>3930</v>
      </c>
      <c r="G70" s="1345"/>
    </row>
    <row r="71" spans="1:7" ht="21.95" customHeight="1">
      <c r="A71" s="1346"/>
      <c r="B71" s="1347" t="s">
        <v>406</v>
      </c>
      <c r="C71" s="1348"/>
      <c r="D71" s="1347"/>
      <c r="E71" s="1348"/>
      <c r="F71" s="1349">
        <f>SUM(F68:F70)</f>
        <v>24490</v>
      </c>
      <c r="G71" s="1350"/>
    </row>
    <row r="72" spans="1:7" ht="21.95" customHeight="1">
      <c r="A72" s="1351" t="s">
        <v>412</v>
      </c>
      <c r="B72" s="1352" t="s">
        <v>413</v>
      </c>
      <c r="C72" s="1353">
        <v>0.20380000000000001</v>
      </c>
      <c r="D72" s="1352"/>
      <c r="E72" s="1358">
        <v>61106</v>
      </c>
      <c r="F72" s="1358">
        <f>ROUNDDOWN(C72*E72,0)</f>
        <v>12453</v>
      </c>
      <c r="G72" s="1355"/>
    </row>
    <row r="73" spans="1:7" ht="21.95" customHeight="1">
      <c r="A73" s="1346"/>
      <c r="B73" s="1347" t="s">
        <v>406</v>
      </c>
      <c r="C73" s="1348"/>
      <c r="D73" s="1347"/>
      <c r="E73" s="1348"/>
      <c r="F73" s="1349">
        <f>SUM(F72)</f>
        <v>12453</v>
      </c>
      <c r="G73" s="1350"/>
    </row>
    <row r="74" spans="1:7" ht="21.95" customHeight="1">
      <c r="A74" s="1359"/>
      <c r="B74" s="1360"/>
      <c r="C74" s="1361"/>
      <c r="D74" s="1360"/>
      <c r="E74" s="1361"/>
      <c r="F74" s="1361"/>
      <c r="G74" s="1362"/>
    </row>
    <row r="75" spans="1:7" ht="21.95" customHeight="1">
      <c r="A75" s="1359"/>
      <c r="B75" s="1360"/>
      <c r="C75" s="1361"/>
      <c r="D75" s="1360"/>
      <c r="E75" s="1361"/>
      <c r="F75" s="1361"/>
      <c r="G75" s="1362"/>
    </row>
    <row r="76" spans="1:7" ht="21.95" customHeight="1">
      <c r="A76" s="1359"/>
      <c r="B76" s="1360"/>
      <c r="C76" s="1361"/>
      <c r="D76" s="1360"/>
      <c r="E76" s="1361"/>
      <c r="F76" s="1361"/>
      <c r="G76" s="1362"/>
    </row>
    <row r="77" spans="1:7" ht="21.95" customHeight="1">
      <c r="A77" s="1359"/>
      <c r="B77" s="1360"/>
      <c r="C77" s="1361"/>
      <c r="D77" s="1360"/>
      <c r="E77" s="1361"/>
      <c r="F77" s="1361"/>
      <c r="G77" s="1362"/>
    </row>
    <row r="78" spans="1:7" ht="21.95" customHeight="1">
      <c r="A78" s="1359"/>
      <c r="B78" s="1360"/>
      <c r="C78" s="1361"/>
      <c r="D78" s="1360"/>
      <c r="E78" s="1361"/>
      <c r="F78" s="1361"/>
      <c r="G78" s="1362"/>
    </row>
    <row r="79" spans="1:7" ht="21.95" customHeight="1">
      <c r="A79" s="1359"/>
      <c r="B79" s="1360"/>
      <c r="C79" s="1361"/>
      <c r="D79" s="1360"/>
      <c r="E79" s="1361"/>
      <c r="F79" s="1361"/>
      <c r="G79" s="1362"/>
    </row>
    <row r="80" spans="1:7" ht="21.95" customHeight="1">
      <c r="A80" s="1333" t="s">
        <v>414</v>
      </c>
      <c r="B80" s="1334"/>
      <c r="C80" s="1363"/>
      <c r="D80" s="1334"/>
      <c r="E80" s="1363"/>
      <c r="F80" s="1364">
        <f>F67+F71+F73</f>
        <v>53301</v>
      </c>
      <c r="G80" s="1365"/>
    </row>
    <row r="81" spans="1:7" ht="21.95" customHeight="1">
      <c r="A81" s="1367" t="s">
        <v>421</v>
      </c>
      <c r="B81" s="1325"/>
      <c r="C81" s="1325"/>
      <c r="D81" s="1325"/>
      <c r="E81" s="1325"/>
      <c r="F81" s="1325"/>
      <c r="G81" s="1326"/>
    </row>
    <row r="82" spans="1:7" ht="21.95" customHeight="1">
      <c r="A82" s="1327"/>
      <c r="B82" s="1328"/>
      <c r="C82" s="1328"/>
      <c r="D82" s="1328"/>
      <c r="E82" s="1328"/>
      <c r="F82" s="1328"/>
      <c r="G82" s="1329"/>
    </row>
    <row r="83" spans="1:7" ht="21.95" customHeight="1">
      <c r="A83" s="1330" t="s">
        <v>422</v>
      </c>
      <c r="B83" s="1331"/>
      <c r="C83" s="1331"/>
      <c r="D83" s="1331"/>
      <c r="E83" s="1331"/>
      <c r="F83" s="1331"/>
      <c r="G83" s="1332"/>
    </row>
    <row r="84" spans="1:7" ht="21.95" customHeight="1">
      <c r="A84" s="1333" t="s">
        <v>394</v>
      </c>
      <c r="B84" s="1334" t="s">
        <v>395</v>
      </c>
      <c r="C84" s="1334" t="s">
        <v>396</v>
      </c>
      <c r="D84" s="1334" t="s">
        <v>397</v>
      </c>
      <c r="E84" s="1334" t="s">
        <v>398</v>
      </c>
      <c r="F84" s="1334" t="s">
        <v>399</v>
      </c>
      <c r="G84" s="1335" t="s">
        <v>400</v>
      </c>
    </row>
    <row r="85" spans="1:7" ht="21.95" customHeight="1">
      <c r="A85" s="1336" t="s">
        <v>401</v>
      </c>
      <c r="B85" s="1337" t="s">
        <v>402</v>
      </c>
      <c r="C85" s="1338">
        <v>11.6</v>
      </c>
      <c r="D85" s="1337" t="s">
        <v>403</v>
      </c>
      <c r="E85" s="1339">
        <f ca="1">'테라토5-장비기준'!E8</f>
        <v>1322</v>
      </c>
      <c r="F85" s="1339">
        <f>ROUNDDOWN(C85*E85,0)</f>
        <v>15335</v>
      </c>
      <c r="G85" s="1340"/>
    </row>
    <row r="86" spans="1:7" ht="21.95" customHeight="1">
      <c r="A86" s="1341"/>
      <c r="B86" s="1342" t="s">
        <v>404</v>
      </c>
      <c r="C86" s="1343">
        <v>22</v>
      </c>
      <c r="D86" s="1342" t="s">
        <v>405</v>
      </c>
      <c r="E86" s="1344"/>
      <c r="F86" s="1344">
        <f>ROUNDDOWN(F85*25%,0)</f>
        <v>3833</v>
      </c>
      <c r="G86" s="1345"/>
    </row>
    <row r="87" spans="1:7" ht="21.95" customHeight="1">
      <c r="A87" s="1346"/>
      <c r="B87" s="1347" t="s">
        <v>406</v>
      </c>
      <c r="C87" s="1348"/>
      <c r="D87" s="1347"/>
      <c r="E87" s="1348"/>
      <c r="F87" s="1349">
        <f>SUM(F85:F86)</f>
        <v>19168</v>
      </c>
      <c r="G87" s="1350"/>
    </row>
    <row r="88" spans="1:7" ht="21.95" customHeight="1">
      <c r="A88" s="1351" t="s">
        <v>407</v>
      </c>
      <c r="B88" s="1352" t="s">
        <v>408</v>
      </c>
      <c r="C88" s="1353">
        <v>0.20832999999999999</v>
      </c>
      <c r="D88" s="1352" t="s">
        <v>409</v>
      </c>
      <c r="E88" s="1354">
        <f ca="1">'테라토5-장비기준'!E11</f>
        <v>98693</v>
      </c>
      <c r="F88" s="1354">
        <f>ROUNDDOWN(C88*E88,0)</f>
        <v>20560</v>
      </c>
      <c r="G88" s="1355"/>
    </row>
    <row r="89" spans="1:7" ht="21.95" customHeight="1">
      <c r="A89" s="1341"/>
      <c r="B89" s="1342" t="s">
        <v>410</v>
      </c>
      <c r="C89" s="1343"/>
      <c r="D89" s="1342" t="s">
        <v>409</v>
      </c>
      <c r="E89" s="1357"/>
      <c r="F89" s="1357">
        <f>ROUNDDOWN(C89*E89,0)</f>
        <v>0</v>
      </c>
      <c r="G89" s="1345"/>
    </row>
    <row r="90" spans="1:7" ht="21.95" customHeight="1">
      <c r="A90" s="1341"/>
      <c r="B90" s="1342" t="s">
        <v>411</v>
      </c>
      <c r="C90" s="1343">
        <v>4.1660000000000003E-2</v>
      </c>
      <c r="D90" s="1342" t="s">
        <v>409</v>
      </c>
      <c r="E90" s="1357">
        <f ca="1">'테라토5-장비기준'!E13</f>
        <v>94350</v>
      </c>
      <c r="F90" s="1357">
        <f>ROUNDDOWN(C90*E90,0)</f>
        <v>3930</v>
      </c>
      <c r="G90" s="1345"/>
    </row>
    <row r="91" spans="1:7" ht="21.95" customHeight="1">
      <c r="A91" s="1346"/>
      <c r="B91" s="1347" t="s">
        <v>406</v>
      </c>
      <c r="C91" s="1348"/>
      <c r="D91" s="1347"/>
      <c r="E91" s="1368"/>
      <c r="F91" s="1349">
        <f>SUM(F88:F90)</f>
        <v>24490</v>
      </c>
      <c r="G91" s="1350"/>
    </row>
    <row r="92" spans="1:7" ht="21.95" customHeight="1">
      <c r="A92" s="1351" t="s">
        <v>412</v>
      </c>
      <c r="B92" s="1352" t="s">
        <v>413</v>
      </c>
      <c r="C92" s="1353">
        <f>C72</f>
        <v>0.20380000000000001</v>
      </c>
      <c r="D92" s="1352"/>
      <c r="E92" s="1358">
        <v>93042</v>
      </c>
      <c r="F92" s="1358">
        <f>ROUNDDOWN(C92*E92,0)</f>
        <v>18961</v>
      </c>
      <c r="G92" s="1355"/>
    </row>
    <row r="93" spans="1:7" ht="21.95" customHeight="1">
      <c r="A93" s="1346"/>
      <c r="B93" s="1347" t="s">
        <v>406</v>
      </c>
      <c r="C93" s="1348"/>
      <c r="D93" s="1347"/>
      <c r="E93" s="1348"/>
      <c r="F93" s="1349">
        <f>SUM(F92)</f>
        <v>18961</v>
      </c>
      <c r="G93" s="1350"/>
    </row>
    <row r="94" spans="1:7" ht="21.95" customHeight="1">
      <c r="A94" s="1359"/>
      <c r="B94" s="1360"/>
      <c r="C94" s="1361"/>
      <c r="D94" s="1360"/>
      <c r="E94" s="1361"/>
      <c r="F94" s="1361"/>
      <c r="G94" s="1362"/>
    </row>
    <row r="95" spans="1:7" ht="21.95" customHeight="1">
      <c r="A95" s="1359"/>
      <c r="B95" s="1360"/>
      <c r="C95" s="1361"/>
      <c r="D95" s="1360"/>
      <c r="E95" s="1361"/>
      <c r="F95" s="1361"/>
      <c r="G95" s="1362"/>
    </row>
    <row r="96" spans="1:7" ht="21.95" customHeight="1">
      <c r="A96" s="1359"/>
      <c r="B96" s="1360"/>
      <c r="C96" s="1361"/>
      <c r="D96" s="1360"/>
      <c r="E96" s="1361"/>
      <c r="F96" s="1361"/>
      <c r="G96" s="1362"/>
    </row>
    <row r="97" spans="1:7" ht="21.95" customHeight="1">
      <c r="A97" s="1359"/>
      <c r="B97" s="1360"/>
      <c r="C97" s="1361"/>
      <c r="D97" s="1360"/>
      <c r="E97" s="1361"/>
      <c r="F97" s="1361"/>
      <c r="G97" s="1362"/>
    </row>
    <row r="98" spans="1:7" ht="21.95" customHeight="1">
      <c r="A98" s="1359"/>
      <c r="B98" s="1360"/>
      <c r="C98" s="1361"/>
      <c r="D98" s="1360"/>
      <c r="E98" s="1361"/>
      <c r="F98" s="1361"/>
      <c r="G98" s="1362"/>
    </row>
    <row r="99" spans="1:7" ht="21.95" customHeight="1">
      <c r="A99" s="1359"/>
      <c r="B99" s="1360"/>
      <c r="C99" s="1361"/>
      <c r="D99" s="1360"/>
      <c r="E99" s="1361"/>
      <c r="F99" s="1361"/>
      <c r="G99" s="1362"/>
    </row>
    <row r="100" spans="1:7" ht="21.95" customHeight="1">
      <c r="A100" s="1333" t="s">
        <v>414</v>
      </c>
      <c r="B100" s="1334"/>
      <c r="C100" s="1363"/>
      <c r="D100" s="1334"/>
      <c r="E100" s="1363"/>
      <c r="F100" s="1364">
        <f>F87+F91+F93</f>
        <v>62619</v>
      </c>
      <c r="G100" s="1365"/>
    </row>
    <row r="101" spans="1:7" ht="21.95" customHeight="1">
      <c r="A101" s="1324" t="s">
        <v>423</v>
      </c>
      <c r="B101" s="1325"/>
      <c r="C101" s="1325"/>
      <c r="D101" s="1325"/>
      <c r="E101" s="1325"/>
      <c r="F101" s="1325"/>
      <c r="G101" s="1326"/>
    </row>
    <row r="102" spans="1:7" ht="21.95" customHeight="1">
      <c r="A102" s="1327"/>
      <c r="B102" s="1328"/>
      <c r="C102" s="1328"/>
      <c r="D102" s="1328"/>
      <c r="E102" s="1328"/>
      <c r="F102" s="1328"/>
      <c r="G102" s="1329"/>
    </row>
    <row r="103" spans="1:7" ht="21.95" customHeight="1">
      <c r="A103" s="1330" t="s">
        <v>424</v>
      </c>
      <c r="B103" s="1331"/>
      <c r="C103" s="1331"/>
      <c r="D103" s="1331"/>
      <c r="E103" s="1331"/>
      <c r="F103" s="1331"/>
      <c r="G103" s="1332"/>
    </row>
    <row r="104" spans="1:7" ht="21.95" customHeight="1">
      <c r="A104" s="1333" t="s">
        <v>394</v>
      </c>
      <c r="B104" s="1334" t="s">
        <v>395</v>
      </c>
      <c r="C104" s="1334" t="s">
        <v>396</v>
      </c>
      <c r="D104" s="1334" t="s">
        <v>397</v>
      </c>
      <c r="E104" s="1334" t="s">
        <v>398</v>
      </c>
      <c r="F104" s="1334" t="s">
        <v>399</v>
      </c>
      <c r="G104" s="1335" t="s">
        <v>400</v>
      </c>
    </row>
    <row r="105" spans="1:7" ht="21.95" customHeight="1">
      <c r="A105" s="1336" t="s">
        <v>401</v>
      </c>
      <c r="B105" s="1337" t="s">
        <v>402</v>
      </c>
      <c r="C105" s="1338">
        <v>3.8</v>
      </c>
      <c r="D105" s="1337" t="s">
        <v>403</v>
      </c>
      <c r="E105" s="1339">
        <f ca="1">'테라토5-단가적용'!J10</f>
        <v>1322</v>
      </c>
      <c r="F105" s="1339">
        <f>ROUNDDOWN(C105*E105,0)</f>
        <v>5023</v>
      </c>
      <c r="G105" s="1340"/>
    </row>
    <row r="106" spans="1:7" ht="21.95" customHeight="1">
      <c r="A106" s="1341"/>
      <c r="B106" s="1342" t="s">
        <v>404</v>
      </c>
      <c r="C106" s="1343">
        <v>39</v>
      </c>
      <c r="D106" s="1342" t="s">
        <v>405</v>
      </c>
      <c r="E106" s="1344"/>
      <c r="F106" s="1344">
        <f>ROUNDDOWN(F105*42%,0)</f>
        <v>2109</v>
      </c>
      <c r="G106" s="1345"/>
    </row>
    <row r="107" spans="1:7" ht="21.95" customHeight="1">
      <c r="A107" s="1346"/>
      <c r="B107" s="1347" t="s">
        <v>406</v>
      </c>
      <c r="C107" s="1348"/>
      <c r="D107" s="1347"/>
      <c r="E107" s="1348"/>
      <c r="F107" s="1349">
        <f>SUM(F105:F106)</f>
        <v>7132</v>
      </c>
      <c r="G107" s="1350"/>
    </row>
    <row r="108" spans="1:7" ht="21.95" customHeight="1">
      <c r="A108" s="1351" t="s">
        <v>407</v>
      </c>
      <c r="B108" s="1352" t="s">
        <v>408</v>
      </c>
      <c r="C108" s="1353">
        <v>0.20832999999999999</v>
      </c>
      <c r="D108" s="1352" t="s">
        <v>409</v>
      </c>
      <c r="E108" s="1354">
        <f ca="1">'테라토5-장비기준'!E11</f>
        <v>98693</v>
      </c>
      <c r="F108" s="1354">
        <f>ROUNDDOWN(C108*E108,0)</f>
        <v>20560</v>
      </c>
      <c r="G108" s="1355"/>
    </row>
    <row r="109" spans="1:7" ht="21.95" customHeight="1">
      <c r="A109" s="1341"/>
      <c r="B109" s="1342" t="s">
        <v>410</v>
      </c>
      <c r="C109" s="1343"/>
      <c r="D109" s="1342" t="s">
        <v>409</v>
      </c>
      <c r="E109" s="1357"/>
      <c r="F109" s="1357">
        <f>ROUNDDOWN(C109*E109,0)</f>
        <v>0</v>
      </c>
      <c r="G109" s="1345"/>
    </row>
    <row r="110" spans="1:7" ht="21.95" customHeight="1">
      <c r="A110" s="1341"/>
      <c r="B110" s="1342" t="s">
        <v>411</v>
      </c>
      <c r="C110" s="1343">
        <v>4.1660000000000003E-2</v>
      </c>
      <c r="D110" s="1342" t="s">
        <v>409</v>
      </c>
      <c r="E110" s="1357">
        <f ca="1">'테라토5-장비기준'!E13</f>
        <v>94350</v>
      </c>
      <c r="F110" s="1357">
        <f>ROUNDDOWN(C110*E110,0)</f>
        <v>3930</v>
      </c>
      <c r="G110" s="1345"/>
    </row>
    <row r="111" spans="1:7" ht="21.95" customHeight="1">
      <c r="A111" s="1346"/>
      <c r="B111" s="1347" t="s">
        <v>406</v>
      </c>
      <c r="C111" s="1348"/>
      <c r="D111" s="1347"/>
      <c r="E111" s="1368"/>
      <c r="F111" s="1349">
        <f>SUM(F108:F110)</f>
        <v>24490</v>
      </c>
      <c r="G111" s="1350"/>
    </row>
    <row r="112" spans="1:7" ht="21.95" customHeight="1">
      <c r="A112" s="1351" t="s">
        <v>412</v>
      </c>
      <c r="B112" s="1352" t="s">
        <v>413</v>
      </c>
      <c r="C112" s="1353">
        <v>0.22320000000000001</v>
      </c>
      <c r="D112" s="1352"/>
      <c r="E112" s="1358">
        <v>105000</v>
      </c>
      <c r="F112" s="1358">
        <f>E112*C112</f>
        <v>23436</v>
      </c>
      <c r="G112" s="1355"/>
    </row>
    <row r="113" spans="1:7" ht="21.95" customHeight="1">
      <c r="A113" s="1346"/>
      <c r="B113" s="1347" t="s">
        <v>406</v>
      </c>
      <c r="C113" s="1348"/>
      <c r="D113" s="1347"/>
      <c r="E113" s="1348"/>
      <c r="F113" s="1349">
        <f>SUM(F112)</f>
        <v>23436</v>
      </c>
      <c r="G113" s="1350"/>
    </row>
    <row r="114" spans="1:7" ht="21.95" customHeight="1">
      <c r="A114" s="1359"/>
      <c r="B114" s="1360"/>
      <c r="C114" s="1361"/>
      <c r="D114" s="1360"/>
      <c r="E114" s="1361"/>
      <c r="F114" s="1361"/>
      <c r="G114" s="1362"/>
    </row>
    <row r="115" spans="1:7" ht="21.95" customHeight="1">
      <c r="A115" s="1359"/>
      <c r="B115" s="1360"/>
      <c r="C115" s="1361"/>
      <c r="D115" s="1360"/>
      <c r="E115" s="1361"/>
      <c r="F115" s="1361"/>
      <c r="G115" s="1362"/>
    </row>
    <row r="116" spans="1:7" ht="21.95" customHeight="1">
      <c r="A116" s="1359"/>
      <c r="B116" s="1360"/>
      <c r="C116" s="1361"/>
      <c r="D116" s="1360"/>
      <c r="E116" s="1361"/>
      <c r="F116" s="1361"/>
      <c r="G116" s="1362"/>
    </row>
    <row r="117" spans="1:7" ht="21.95" customHeight="1">
      <c r="A117" s="1359"/>
      <c r="B117" s="1360"/>
      <c r="C117" s="1361"/>
      <c r="D117" s="1360"/>
      <c r="E117" s="1361"/>
      <c r="F117" s="1361"/>
      <c r="G117" s="1362"/>
    </row>
    <row r="118" spans="1:7" ht="21.95" customHeight="1">
      <c r="A118" s="1359"/>
      <c r="B118" s="1360"/>
      <c r="C118" s="1361"/>
      <c r="D118" s="1360"/>
      <c r="E118" s="1361"/>
      <c r="F118" s="1361"/>
      <c r="G118" s="1362"/>
    </row>
    <row r="119" spans="1:7" ht="21.95" customHeight="1">
      <c r="A119" s="1359"/>
      <c r="B119" s="1360"/>
      <c r="C119" s="1361"/>
      <c r="D119" s="1360"/>
      <c r="E119" s="1361"/>
      <c r="F119" s="1361"/>
      <c r="G119" s="1362"/>
    </row>
    <row r="120" spans="1:7" ht="21.95" customHeight="1">
      <c r="A120" s="1333" t="s">
        <v>414</v>
      </c>
      <c r="B120" s="1334"/>
      <c r="C120" s="1363"/>
      <c r="D120" s="1334"/>
      <c r="E120" s="1363"/>
      <c r="F120" s="1364">
        <f>F107+F111+F113</f>
        <v>55058</v>
      </c>
      <c r="G120" s="1365"/>
    </row>
    <row r="121" spans="1:7" ht="21.95" customHeight="1">
      <c r="A121" s="1324" t="s">
        <v>425</v>
      </c>
      <c r="B121" s="1325"/>
      <c r="C121" s="1325"/>
      <c r="D121" s="1325"/>
      <c r="E121" s="1325"/>
      <c r="F121" s="1325"/>
      <c r="G121" s="1326"/>
    </row>
    <row r="122" spans="1:7" ht="21.95" customHeight="1">
      <c r="A122" s="1327"/>
      <c r="B122" s="1328"/>
      <c r="C122" s="1328"/>
      <c r="D122" s="1328"/>
      <c r="E122" s="1328"/>
      <c r="F122" s="1328"/>
      <c r="G122" s="1329"/>
    </row>
    <row r="123" spans="1:7" ht="21.95" customHeight="1">
      <c r="A123" s="1330" t="s">
        <v>426</v>
      </c>
      <c r="B123" s="1331"/>
      <c r="C123" s="1331"/>
      <c r="D123" s="1331"/>
      <c r="E123" s="1331"/>
      <c r="F123" s="1331"/>
      <c r="G123" s="1332"/>
    </row>
    <row r="124" spans="1:7" ht="21.95" customHeight="1">
      <c r="A124" s="1333" t="s">
        <v>394</v>
      </c>
      <c r="B124" s="1334" t="s">
        <v>395</v>
      </c>
      <c r="C124" s="1334" t="s">
        <v>396</v>
      </c>
      <c r="D124" s="1334" t="s">
        <v>397</v>
      </c>
      <c r="E124" s="1334" t="s">
        <v>398</v>
      </c>
      <c r="F124" s="1334" t="s">
        <v>399</v>
      </c>
      <c r="G124" s="1335" t="s">
        <v>400</v>
      </c>
    </row>
    <row r="125" spans="1:7" ht="21.95" customHeight="1">
      <c r="A125" s="1336" t="s">
        <v>401</v>
      </c>
      <c r="B125" s="1337" t="s">
        <v>402</v>
      </c>
      <c r="C125" s="1338">
        <v>9.3000000000000007</v>
      </c>
      <c r="D125" s="1337" t="s">
        <v>403</v>
      </c>
      <c r="E125" s="1339">
        <f ca="1">'테라토5-단가적용'!J10</f>
        <v>1322</v>
      </c>
      <c r="F125" s="1339">
        <f>ROUNDDOWN(C125*E125,0)</f>
        <v>12294</v>
      </c>
      <c r="G125" s="1340"/>
    </row>
    <row r="126" spans="1:7" ht="21.95" customHeight="1">
      <c r="A126" s="1341"/>
      <c r="B126" s="1342" t="s">
        <v>404</v>
      </c>
      <c r="C126" s="1343">
        <v>30</v>
      </c>
      <c r="D126" s="1342" t="s">
        <v>405</v>
      </c>
      <c r="E126" s="1344"/>
      <c r="F126" s="1344">
        <f>ROUNDDOWN(F125*35%,0)</f>
        <v>4302</v>
      </c>
      <c r="G126" s="1345"/>
    </row>
    <row r="127" spans="1:7" ht="21.95" customHeight="1">
      <c r="A127" s="1346"/>
      <c r="B127" s="1347" t="s">
        <v>406</v>
      </c>
      <c r="C127" s="1348"/>
      <c r="D127" s="1347"/>
      <c r="E127" s="1348"/>
      <c r="F127" s="1349">
        <f>SUM(F125:F126)</f>
        <v>16596</v>
      </c>
      <c r="G127" s="1350"/>
    </row>
    <row r="128" spans="1:7" ht="21.95" customHeight="1">
      <c r="A128" s="1351" t="s">
        <v>407</v>
      </c>
      <c r="B128" s="1369" t="s">
        <v>408</v>
      </c>
      <c r="C128" s="1353">
        <v>0.20830000000000001</v>
      </c>
      <c r="D128" s="1352" t="s">
        <v>409</v>
      </c>
      <c r="E128" s="1354">
        <f ca="1">'테라토5-장비기준'!E11</f>
        <v>98693</v>
      </c>
      <c r="F128" s="1354">
        <f>ROUNDDOWN(C128*E128,0)</f>
        <v>20557</v>
      </c>
      <c r="G128" s="1355"/>
    </row>
    <row r="129" spans="1:7" ht="21.95" customHeight="1">
      <c r="A129" s="1341"/>
      <c r="B129" s="1342"/>
      <c r="C129" s="1356"/>
      <c r="D129" s="1342" t="s">
        <v>409</v>
      </c>
      <c r="E129" s="1357"/>
      <c r="F129" s="1357">
        <f>ROUNDDOWN(C129*E129,0)</f>
        <v>0</v>
      </c>
      <c r="G129" s="1345"/>
    </row>
    <row r="130" spans="1:7" ht="21.95" customHeight="1">
      <c r="A130" s="1341"/>
      <c r="B130" s="1342"/>
      <c r="C130" s="1356"/>
      <c r="D130" s="1342" t="s">
        <v>409</v>
      </c>
      <c r="E130" s="1357"/>
      <c r="F130" s="1357">
        <f>ROUNDDOWN(C130*E130,0)</f>
        <v>0</v>
      </c>
      <c r="G130" s="1345"/>
    </row>
    <row r="131" spans="1:7" ht="21.95" customHeight="1">
      <c r="A131" s="1346"/>
      <c r="B131" s="1347" t="s">
        <v>406</v>
      </c>
      <c r="C131" s="1348"/>
      <c r="D131" s="1347"/>
      <c r="E131" s="1368"/>
      <c r="F131" s="1349">
        <f>SUM(F128:F130)</f>
        <v>20557</v>
      </c>
      <c r="G131" s="1350"/>
    </row>
    <row r="132" spans="1:7" ht="21.95" customHeight="1">
      <c r="A132" s="1351" t="s">
        <v>412</v>
      </c>
      <c r="B132" s="1352" t="s">
        <v>413</v>
      </c>
      <c r="C132" s="1353">
        <v>0.20449999999999999</v>
      </c>
      <c r="D132" s="1352"/>
      <c r="E132" s="1358">
        <v>38257</v>
      </c>
      <c r="F132" s="1358">
        <f>E132*C132</f>
        <v>7823.5564999999997</v>
      </c>
      <c r="G132" s="1355"/>
    </row>
    <row r="133" spans="1:7" ht="21.95" customHeight="1">
      <c r="A133" s="1346"/>
      <c r="B133" s="1347" t="s">
        <v>406</v>
      </c>
      <c r="C133" s="1348"/>
      <c r="D133" s="1347"/>
      <c r="E133" s="1348"/>
      <c r="F133" s="1349">
        <f>SUM(F132)</f>
        <v>7823.5564999999997</v>
      </c>
      <c r="G133" s="1350"/>
    </row>
    <row r="134" spans="1:7" ht="21.95" customHeight="1">
      <c r="A134" s="1359"/>
      <c r="B134" s="1360"/>
      <c r="C134" s="1361"/>
      <c r="D134" s="1360"/>
      <c r="E134" s="1361"/>
      <c r="F134" s="1361"/>
      <c r="G134" s="1362"/>
    </row>
    <row r="135" spans="1:7" ht="21.95" customHeight="1">
      <c r="A135" s="1359"/>
      <c r="B135" s="1360"/>
      <c r="C135" s="1361"/>
      <c r="D135" s="1360"/>
      <c r="E135" s="1361"/>
      <c r="F135" s="1361"/>
      <c r="G135" s="1362"/>
    </row>
    <row r="136" spans="1:7" ht="21.95" customHeight="1">
      <c r="A136" s="1359"/>
      <c r="B136" s="1360"/>
      <c r="C136" s="1361"/>
      <c r="D136" s="1360"/>
      <c r="E136" s="1361"/>
      <c r="F136" s="1361"/>
      <c r="G136" s="1362"/>
    </row>
    <row r="137" spans="1:7" ht="21.95" customHeight="1">
      <c r="A137" s="1359"/>
      <c r="B137" s="1360"/>
      <c r="C137" s="1361"/>
      <c r="D137" s="1360"/>
      <c r="E137" s="1361"/>
      <c r="F137" s="1361"/>
      <c r="G137" s="1362"/>
    </row>
    <row r="138" spans="1:7" ht="21.95" customHeight="1">
      <c r="A138" s="1359"/>
      <c r="B138" s="1360"/>
      <c r="C138" s="1361"/>
      <c r="D138" s="1360"/>
      <c r="E138" s="1361"/>
      <c r="F138" s="1361"/>
      <c r="G138" s="1362"/>
    </row>
    <row r="139" spans="1:7" ht="21.95" customHeight="1">
      <c r="A139" s="1359"/>
      <c r="B139" s="1360"/>
      <c r="C139" s="1361"/>
      <c r="D139" s="1360"/>
      <c r="E139" s="1361"/>
      <c r="F139" s="1361"/>
      <c r="G139" s="1362"/>
    </row>
    <row r="140" spans="1:7" ht="21.95" customHeight="1">
      <c r="A140" s="1333" t="s">
        <v>414</v>
      </c>
      <c r="B140" s="1334"/>
      <c r="C140" s="1363"/>
      <c r="D140" s="1334"/>
      <c r="E140" s="1363"/>
      <c r="F140" s="1364">
        <f>F127+F131+F133</f>
        <v>44976.556499999999</v>
      </c>
      <c r="G140" s="1365"/>
    </row>
    <row r="141" spans="1:7" ht="21.95" customHeight="1">
      <c r="A141" s="1324" t="s">
        <v>427</v>
      </c>
      <c r="B141" s="1325"/>
      <c r="C141" s="1325"/>
      <c r="D141" s="1325"/>
      <c r="E141" s="1325"/>
      <c r="F141" s="1325"/>
      <c r="G141" s="1326"/>
    </row>
    <row r="142" spans="1:7" ht="21.95" customHeight="1">
      <c r="A142" s="1327"/>
      <c r="B142" s="1328"/>
      <c r="C142" s="1328"/>
      <c r="D142" s="1328"/>
      <c r="E142" s="1328"/>
      <c r="F142" s="1328"/>
      <c r="G142" s="1329"/>
    </row>
    <row r="143" spans="1:7" ht="21.95" customHeight="1">
      <c r="A143" s="1330" t="s">
        <v>428</v>
      </c>
      <c r="B143" s="1331"/>
      <c r="C143" s="1331"/>
      <c r="D143" s="1331"/>
      <c r="E143" s="1331"/>
      <c r="F143" s="1331"/>
      <c r="G143" s="1332"/>
    </row>
    <row r="144" spans="1:7" ht="21.95" customHeight="1">
      <c r="A144" s="1333" t="s">
        <v>394</v>
      </c>
      <c r="B144" s="1334" t="s">
        <v>395</v>
      </c>
      <c r="C144" s="1334" t="s">
        <v>396</v>
      </c>
      <c r="D144" s="1334" t="s">
        <v>397</v>
      </c>
      <c r="E144" s="1334" t="s">
        <v>398</v>
      </c>
      <c r="F144" s="1334" t="s">
        <v>399</v>
      </c>
      <c r="G144" s="1335" t="s">
        <v>400</v>
      </c>
    </row>
    <row r="145" spans="1:7" ht="21.95" customHeight="1">
      <c r="A145" s="1336" t="s">
        <v>401</v>
      </c>
      <c r="B145" s="1337" t="s">
        <v>402</v>
      </c>
      <c r="C145" s="1338">
        <v>8</v>
      </c>
      <c r="D145" s="1337" t="s">
        <v>403</v>
      </c>
      <c r="E145" s="1339">
        <f ca="1">'테라토5-단가적용'!J10</f>
        <v>1322</v>
      </c>
      <c r="F145" s="1339">
        <f>ROUNDDOWN(C145*E145,0)</f>
        <v>10576</v>
      </c>
      <c r="G145" s="1340"/>
    </row>
    <row r="146" spans="1:7" ht="21.95" customHeight="1">
      <c r="A146" s="1341"/>
      <c r="B146" s="1342" t="s">
        <v>404</v>
      </c>
      <c r="C146" s="1343">
        <v>38</v>
      </c>
      <c r="D146" s="1342" t="s">
        <v>405</v>
      </c>
      <c r="E146" s="1344"/>
      <c r="F146" s="1344">
        <f>ROUNDDOWN(F145*42%,0)</f>
        <v>4441</v>
      </c>
      <c r="G146" s="1345"/>
    </row>
    <row r="147" spans="1:7" ht="21.95" customHeight="1">
      <c r="A147" s="1346"/>
      <c r="B147" s="1347" t="s">
        <v>406</v>
      </c>
      <c r="C147" s="1348"/>
      <c r="D147" s="1347"/>
      <c r="E147" s="1348"/>
      <c r="F147" s="1349">
        <f>SUM(F145:F146)</f>
        <v>15017</v>
      </c>
      <c r="G147" s="1350"/>
    </row>
    <row r="148" spans="1:7" ht="21.95" customHeight="1">
      <c r="A148" s="1351" t="s">
        <v>407</v>
      </c>
      <c r="B148" s="1369" t="s">
        <v>408</v>
      </c>
      <c r="C148" s="1353">
        <v>0.20830000000000001</v>
      </c>
      <c r="D148" s="1352" t="s">
        <v>409</v>
      </c>
      <c r="E148" s="1354">
        <f ca="1">'테라토5-장비기준'!E11</f>
        <v>98693</v>
      </c>
      <c r="F148" s="1354">
        <f>ROUNDDOWN(C148*E148,0)</f>
        <v>20557</v>
      </c>
      <c r="G148" s="1355"/>
    </row>
    <row r="149" spans="1:7" ht="21.95" customHeight="1">
      <c r="A149" s="1341"/>
      <c r="B149" s="1342"/>
      <c r="C149" s="1356"/>
      <c r="D149" s="1342" t="s">
        <v>409</v>
      </c>
      <c r="E149" s="1357"/>
      <c r="F149" s="1357">
        <f>ROUNDDOWN(C149*E149,0)</f>
        <v>0</v>
      </c>
      <c r="G149" s="1345"/>
    </row>
    <row r="150" spans="1:7" ht="21.95" customHeight="1">
      <c r="A150" s="1341"/>
      <c r="B150" s="1342"/>
      <c r="C150" s="1356"/>
      <c r="D150" s="1342" t="s">
        <v>409</v>
      </c>
      <c r="E150" s="1357"/>
      <c r="F150" s="1357">
        <f>ROUNDDOWN(C150*E150,0)</f>
        <v>0</v>
      </c>
      <c r="G150" s="1345"/>
    </row>
    <row r="151" spans="1:7" ht="21.95" customHeight="1">
      <c r="A151" s="1346"/>
      <c r="B151" s="1347" t="s">
        <v>406</v>
      </c>
      <c r="C151" s="1348"/>
      <c r="D151" s="1347"/>
      <c r="E151" s="1368"/>
      <c r="F151" s="1349">
        <f>SUM(F148:F150)</f>
        <v>20557</v>
      </c>
      <c r="G151" s="1350"/>
    </row>
    <row r="152" spans="1:7" ht="21.95" customHeight="1">
      <c r="A152" s="1351" t="s">
        <v>412</v>
      </c>
      <c r="B152" s="1352" t="s">
        <v>413</v>
      </c>
      <c r="C152" s="1353">
        <v>0.29010000000000002</v>
      </c>
      <c r="D152" s="1352"/>
      <c r="E152" s="1358">
        <v>21089</v>
      </c>
      <c r="F152" s="1358">
        <f>E152*C152</f>
        <v>6117.9189000000006</v>
      </c>
      <c r="G152" s="1355"/>
    </row>
    <row r="153" spans="1:7" ht="21.95" customHeight="1">
      <c r="A153" s="1346"/>
      <c r="B153" s="1347" t="s">
        <v>406</v>
      </c>
      <c r="C153" s="1348"/>
      <c r="D153" s="1347"/>
      <c r="E153" s="1348"/>
      <c r="F153" s="1349">
        <f>SUM(F152)</f>
        <v>6117.9189000000006</v>
      </c>
      <c r="G153" s="1350"/>
    </row>
    <row r="154" spans="1:7" ht="21.95" customHeight="1">
      <c r="A154" s="1359"/>
      <c r="B154" s="1360"/>
      <c r="C154" s="1361"/>
      <c r="D154" s="1360"/>
      <c r="E154" s="1361"/>
      <c r="F154" s="1361"/>
      <c r="G154" s="1362"/>
    </row>
    <row r="155" spans="1:7" ht="21.95" customHeight="1">
      <c r="A155" s="1359"/>
      <c r="B155" s="1360"/>
      <c r="C155" s="1361"/>
      <c r="D155" s="1360"/>
      <c r="E155" s="1361"/>
      <c r="F155" s="1361"/>
      <c r="G155" s="1362"/>
    </row>
    <row r="156" spans="1:7" ht="21.95" customHeight="1">
      <c r="A156" s="1359"/>
      <c r="B156" s="1360"/>
      <c r="C156" s="1361"/>
      <c r="D156" s="1360"/>
      <c r="E156" s="1361"/>
      <c r="F156" s="1361"/>
      <c r="G156" s="1362"/>
    </row>
    <row r="157" spans="1:7" ht="21.95" customHeight="1">
      <c r="A157" s="1359"/>
      <c r="B157" s="1360"/>
      <c r="C157" s="1361"/>
      <c r="D157" s="1360"/>
      <c r="E157" s="1361"/>
      <c r="F157" s="1361"/>
      <c r="G157" s="1362"/>
    </row>
    <row r="158" spans="1:7" ht="21.95" customHeight="1">
      <c r="A158" s="1359"/>
      <c r="B158" s="1360"/>
      <c r="C158" s="1361"/>
      <c r="D158" s="1360"/>
      <c r="E158" s="1361"/>
      <c r="F158" s="1361"/>
      <c r="G158" s="1362"/>
    </row>
    <row r="159" spans="1:7" ht="21.95" customHeight="1">
      <c r="A159" s="1359"/>
      <c r="B159" s="1360"/>
      <c r="C159" s="1361"/>
      <c r="D159" s="1360"/>
      <c r="E159" s="1361"/>
      <c r="F159" s="1361"/>
      <c r="G159" s="1362"/>
    </row>
    <row r="160" spans="1:7" ht="21.95" customHeight="1">
      <c r="A160" s="1333" t="s">
        <v>414</v>
      </c>
      <c r="B160" s="1334"/>
      <c r="C160" s="1363"/>
      <c r="D160" s="1334"/>
      <c r="E160" s="1363"/>
      <c r="F160" s="1364">
        <f>F147+F151+F153</f>
        <v>41691.918900000004</v>
      </c>
      <c r="G160" s="1365"/>
    </row>
    <row r="161" spans="1:7" ht="21.95" customHeight="1">
      <c r="A161" s="1324" t="s">
        <v>429</v>
      </c>
      <c r="B161" s="1325"/>
      <c r="C161" s="1325"/>
      <c r="D161" s="1325"/>
      <c r="E161" s="1325"/>
      <c r="F161" s="1325"/>
      <c r="G161" s="1326"/>
    </row>
    <row r="162" spans="1:7" ht="21.95" customHeight="1">
      <c r="A162" s="1327"/>
      <c r="B162" s="1328"/>
      <c r="C162" s="1328"/>
      <c r="D162" s="1328"/>
      <c r="E162" s="1328"/>
      <c r="F162" s="1328"/>
      <c r="G162" s="1329"/>
    </row>
    <row r="163" spans="1:7" ht="21.95" customHeight="1">
      <c r="A163" s="1330" t="s">
        <v>430</v>
      </c>
      <c r="B163" s="1331"/>
      <c r="C163" s="1331"/>
      <c r="D163" s="1331"/>
      <c r="E163" s="1331"/>
      <c r="F163" s="1331"/>
      <c r="G163" s="1332"/>
    </row>
    <row r="164" spans="1:7" ht="21.95" customHeight="1">
      <c r="A164" s="1333" t="s">
        <v>394</v>
      </c>
      <c r="B164" s="1334" t="s">
        <v>395</v>
      </c>
      <c r="C164" s="1334" t="s">
        <v>396</v>
      </c>
      <c r="D164" s="1334" t="s">
        <v>397</v>
      </c>
      <c r="E164" s="1334" t="s">
        <v>398</v>
      </c>
      <c r="F164" s="1334" t="s">
        <v>399</v>
      </c>
      <c r="G164" s="1335" t="s">
        <v>400</v>
      </c>
    </row>
    <row r="165" spans="1:7" ht="21.95" customHeight="1">
      <c r="A165" s="1336" t="s">
        <v>401</v>
      </c>
      <c r="B165" s="1337" t="s">
        <v>402</v>
      </c>
      <c r="C165" s="1338"/>
      <c r="D165" s="1337"/>
      <c r="E165" s="1339"/>
      <c r="F165" s="1339"/>
      <c r="G165" s="1340"/>
    </row>
    <row r="166" spans="1:7" ht="21.95" customHeight="1">
      <c r="A166" s="1341"/>
      <c r="B166" s="1370" t="s">
        <v>431</v>
      </c>
      <c r="C166" s="1370">
        <v>1.87</v>
      </c>
      <c r="D166" s="1370" t="s">
        <v>432</v>
      </c>
      <c r="E166" s="1344">
        <v>55</v>
      </c>
      <c r="F166" s="1344">
        <f>E166*C166</f>
        <v>102.85000000000001</v>
      </c>
      <c r="G166" s="1345"/>
    </row>
    <row r="167" spans="1:7" ht="21.95" customHeight="1">
      <c r="A167" s="1346"/>
      <c r="B167" s="1347" t="s">
        <v>406</v>
      </c>
      <c r="C167" s="1348"/>
      <c r="D167" s="1347"/>
      <c r="E167" s="1348"/>
      <c r="F167" s="1349">
        <f>SUM(F165:F166)</f>
        <v>102.85000000000001</v>
      </c>
      <c r="G167" s="1350"/>
    </row>
    <row r="168" spans="1:7" ht="21.95" customHeight="1">
      <c r="A168" s="1351" t="s">
        <v>407</v>
      </c>
      <c r="B168" s="1369" t="s">
        <v>433</v>
      </c>
      <c r="C168" s="1353">
        <v>0.1208</v>
      </c>
      <c r="D168" s="1352" t="s">
        <v>409</v>
      </c>
      <c r="E168" s="1354">
        <f ca="1">'테라토5-장비기준'!E14</f>
        <v>84942</v>
      </c>
      <c r="F168" s="1354">
        <f>ROUNDDOWN(C168*E168,0)</f>
        <v>10260</v>
      </c>
      <c r="G168" s="1355"/>
    </row>
    <row r="169" spans="1:7" ht="21.95" customHeight="1">
      <c r="A169" s="1341"/>
      <c r="B169" s="1342"/>
      <c r="C169" s="1356"/>
      <c r="D169" s="1342" t="s">
        <v>409</v>
      </c>
      <c r="E169" s="1357"/>
      <c r="F169" s="1357">
        <f>ROUNDDOWN(C169*E169,0)</f>
        <v>0</v>
      </c>
      <c r="G169" s="1345"/>
    </row>
    <row r="170" spans="1:7" ht="21.95" customHeight="1">
      <c r="A170" s="1341"/>
      <c r="B170" s="1342"/>
      <c r="C170" s="1356"/>
      <c r="D170" s="1342" t="s">
        <v>409</v>
      </c>
      <c r="E170" s="1357"/>
      <c r="F170" s="1357">
        <f>ROUNDDOWN(C170*E170,0)</f>
        <v>0</v>
      </c>
      <c r="G170" s="1345"/>
    </row>
    <row r="171" spans="1:7" ht="21.95" customHeight="1">
      <c r="A171" s="1346"/>
      <c r="B171" s="1347" t="s">
        <v>406</v>
      </c>
      <c r="C171" s="1348"/>
      <c r="D171" s="1347"/>
      <c r="E171" s="1368"/>
      <c r="F171" s="1349">
        <f>SUM(F168:F170)</f>
        <v>10260</v>
      </c>
      <c r="G171" s="1350"/>
    </row>
    <row r="172" spans="1:7" ht="21.95" customHeight="1">
      <c r="A172" s="1351" t="s">
        <v>412</v>
      </c>
      <c r="B172" s="1352" t="s">
        <v>413</v>
      </c>
      <c r="C172" s="1353">
        <v>0.15329999999999999</v>
      </c>
      <c r="D172" s="1352"/>
      <c r="E172" s="1358">
        <v>21000</v>
      </c>
      <c r="F172" s="1358">
        <f>E172*C172</f>
        <v>3219.2999999999997</v>
      </c>
      <c r="G172" s="1355"/>
    </row>
    <row r="173" spans="1:7" ht="21.95" customHeight="1">
      <c r="A173" s="1346"/>
      <c r="B173" s="1347" t="s">
        <v>406</v>
      </c>
      <c r="C173" s="1348"/>
      <c r="D173" s="1347"/>
      <c r="E173" s="1348"/>
      <c r="F173" s="1349">
        <f>SUM(F172)</f>
        <v>3219.2999999999997</v>
      </c>
      <c r="G173" s="1350"/>
    </row>
    <row r="174" spans="1:7" ht="21.95" customHeight="1">
      <c r="A174" s="1359"/>
      <c r="B174" s="1360"/>
      <c r="C174" s="1361"/>
      <c r="D174" s="1360"/>
      <c r="E174" s="1361"/>
      <c r="F174" s="1361"/>
      <c r="G174" s="1362"/>
    </row>
    <row r="175" spans="1:7" ht="21.95" customHeight="1">
      <c r="A175" s="1359"/>
      <c r="B175" s="1360"/>
      <c r="C175" s="1361"/>
      <c r="D175" s="1360"/>
      <c r="E175" s="1361"/>
      <c r="F175" s="1361"/>
      <c r="G175" s="1362"/>
    </row>
    <row r="176" spans="1:7" ht="21.95" customHeight="1">
      <c r="A176" s="1359"/>
      <c r="B176" s="1360"/>
      <c r="C176" s="1361"/>
      <c r="D176" s="1360"/>
      <c r="E176" s="1361"/>
      <c r="F176" s="1361"/>
      <c r="G176" s="1362"/>
    </row>
    <row r="177" spans="1:7" ht="21.95" customHeight="1">
      <c r="A177" s="1359"/>
      <c r="B177" s="1360"/>
      <c r="C177" s="1361"/>
      <c r="D177" s="1360"/>
      <c r="E177" s="1361"/>
      <c r="F177" s="1361"/>
      <c r="G177" s="1362"/>
    </row>
    <row r="178" spans="1:7" ht="21.95" customHeight="1">
      <c r="A178" s="1359"/>
      <c r="B178" s="1360"/>
      <c r="C178" s="1361"/>
      <c r="D178" s="1360"/>
      <c r="E178" s="1361"/>
      <c r="F178" s="1361"/>
      <c r="G178" s="1362"/>
    </row>
    <row r="179" spans="1:7" ht="21.95" customHeight="1">
      <c r="A179" s="1359"/>
      <c r="B179" s="1360"/>
      <c r="C179" s="1361"/>
      <c r="D179" s="1360"/>
      <c r="E179" s="1361"/>
      <c r="F179" s="1361"/>
      <c r="G179" s="1362"/>
    </row>
    <row r="180" spans="1:7" ht="21.95" customHeight="1">
      <c r="A180" s="1333" t="s">
        <v>414</v>
      </c>
      <c r="B180" s="1334"/>
      <c r="C180" s="1363"/>
      <c r="D180" s="1334"/>
      <c r="E180" s="1363"/>
      <c r="F180" s="1364">
        <f>F167+F171+F173</f>
        <v>13582.15</v>
      </c>
      <c r="G180" s="1365"/>
    </row>
  </sheetData>
  <phoneticPr fontId="116" type="noConversion"/>
  <pageMargins left="0.87" right="0.75" top="1" bottom="1" header="0.5" footer="0.5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A8" sqref="A8"/>
    </sheetView>
  </sheetViews>
  <sheetFormatPr defaultColWidth="8" defaultRowHeight="13.5"/>
  <cols>
    <col min="1" max="1" width="8" style="1289"/>
    <col min="2" max="2" width="10" style="1289" customWidth="1"/>
    <col min="3" max="3" width="15.5546875" style="1289" customWidth="1"/>
    <col min="4" max="4" width="2.88671875" style="1289" bestFit="1" customWidth="1"/>
    <col min="5" max="5" width="8.33203125" style="1289" bestFit="1" customWidth="1"/>
    <col min="6" max="6" width="2.88671875" style="1289" bestFit="1" customWidth="1"/>
    <col min="7" max="7" width="5" style="1289" customWidth="1"/>
    <col min="8" max="8" width="2.109375" style="1289" bestFit="1" customWidth="1"/>
    <col min="9" max="9" width="5" style="1289" customWidth="1"/>
    <col min="10" max="10" width="2.109375" style="1289" bestFit="1" customWidth="1"/>
    <col min="11" max="11" width="5" style="1289" customWidth="1"/>
    <col min="12" max="12" width="2.109375" style="1289" bestFit="1" customWidth="1"/>
    <col min="13" max="13" width="5" style="1289" customWidth="1"/>
    <col min="14" max="14" width="2.109375" style="1289" bestFit="1" customWidth="1"/>
    <col min="15" max="15" width="5" style="1289" customWidth="1"/>
    <col min="16" max="16" width="2.109375" style="1289" bestFit="1" customWidth="1"/>
    <col min="17" max="17" width="5" style="1289" customWidth="1"/>
    <col min="18" max="18" width="2.109375" style="1289" bestFit="1" customWidth="1"/>
    <col min="19" max="19" width="9.77734375" style="1289" customWidth="1"/>
    <col min="20" max="20" width="8" style="1289"/>
    <col min="21" max="21" width="9.44140625" style="1289" customWidth="1"/>
    <col min="22" max="16384" width="8" style="1289"/>
  </cols>
  <sheetData>
    <row r="1" spans="1:21" ht="24.95" customHeight="1">
      <c r="A1" s="1371"/>
      <c r="B1" s="1372"/>
      <c r="C1" s="1372"/>
      <c r="D1" s="1372"/>
      <c r="E1" s="1372"/>
      <c r="F1" s="1372"/>
      <c r="G1" s="1372"/>
      <c r="H1" s="1372"/>
      <c r="I1" s="1372"/>
      <c r="J1" s="1372"/>
      <c r="K1" s="1372"/>
      <c r="L1" s="1372"/>
      <c r="M1" s="1372"/>
      <c r="N1" s="1372"/>
      <c r="O1" s="1372"/>
      <c r="P1" s="1372"/>
      <c r="Q1" s="1372"/>
      <c r="R1" s="1372"/>
      <c r="S1" s="1372"/>
      <c r="T1" s="1372"/>
      <c r="U1" s="1373"/>
    </row>
    <row r="2" spans="1:21" ht="24.95" customHeight="1">
      <c r="A2" s="1640" t="s">
        <v>434</v>
      </c>
      <c r="B2" s="1641"/>
      <c r="C2" s="1641"/>
      <c r="D2" s="1641"/>
      <c r="E2" s="1641"/>
      <c r="F2" s="1641"/>
      <c r="G2" s="1641"/>
      <c r="H2" s="1641"/>
      <c r="I2" s="1641"/>
      <c r="J2" s="1641"/>
      <c r="K2" s="1641"/>
      <c r="L2" s="1641"/>
      <c r="M2" s="1641"/>
      <c r="N2" s="1641"/>
      <c r="O2" s="1641"/>
      <c r="P2" s="1641"/>
      <c r="Q2" s="1641"/>
      <c r="R2" s="1641"/>
      <c r="S2" s="1641"/>
      <c r="T2" s="1641"/>
      <c r="U2" s="1642"/>
    </row>
    <row r="3" spans="1:21" ht="24.95" customHeight="1">
      <c r="A3" s="1375"/>
      <c r="B3" s="1376"/>
      <c r="C3" s="1376"/>
      <c r="D3" s="1374"/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76"/>
      <c r="S3" s="1376"/>
      <c r="T3" s="1376"/>
      <c r="U3" s="1377"/>
    </row>
    <row r="4" spans="1:21" ht="24.95" customHeight="1">
      <c r="A4" s="1375"/>
      <c r="B4" s="1376" t="s">
        <v>435</v>
      </c>
      <c r="C4" s="1376"/>
      <c r="D4" s="1374"/>
      <c r="E4" s="1376"/>
      <c r="F4" s="1376"/>
      <c r="G4" s="1376"/>
      <c r="H4" s="1376"/>
      <c r="I4" s="1376"/>
      <c r="J4" s="1376"/>
      <c r="K4" s="1376"/>
      <c r="L4" s="1376"/>
      <c r="M4" s="1376"/>
      <c r="N4" s="1376"/>
      <c r="O4" s="1376"/>
      <c r="P4" s="1376"/>
      <c r="Q4" s="1376"/>
      <c r="R4" s="1376"/>
      <c r="S4" s="1376"/>
      <c r="T4" s="1376"/>
      <c r="U4" s="1377"/>
    </row>
    <row r="5" spans="1:21" ht="24.95" customHeight="1">
      <c r="A5" s="1375"/>
      <c r="B5" s="1376"/>
      <c r="C5" s="1376" t="s">
        <v>436</v>
      </c>
      <c r="D5" s="1374" t="s">
        <v>437</v>
      </c>
      <c r="E5" s="1378">
        <v>1380</v>
      </c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6"/>
      <c r="S5" s="1376"/>
      <c r="T5" s="1376"/>
      <c r="U5" s="1377"/>
    </row>
    <row r="6" spans="1:21" ht="24.95" customHeight="1">
      <c r="A6" s="1375"/>
      <c r="B6" s="1376"/>
      <c r="C6" s="1376"/>
      <c r="D6" s="1374"/>
      <c r="E6" s="1376"/>
      <c r="F6" s="1376"/>
      <c r="G6" s="1376"/>
      <c r="H6" s="1376"/>
      <c r="I6" s="1376"/>
      <c r="J6" s="1376"/>
      <c r="K6" s="1376"/>
      <c r="L6" s="1376"/>
      <c r="M6" s="1376"/>
      <c r="N6" s="1376"/>
      <c r="O6" s="1376"/>
      <c r="P6" s="1376"/>
      <c r="Q6" s="1376"/>
      <c r="R6" s="1376"/>
      <c r="S6" s="1376"/>
      <c r="T6" s="1376"/>
      <c r="U6" s="1377"/>
    </row>
    <row r="7" spans="1:21" ht="24.95" customHeight="1">
      <c r="A7" s="1375"/>
      <c r="B7" s="1376" t="s">
        <v>438</v>
      </c>
      <c r="C7" s="1376"/>
      <c r="D7" s="1374"/>
      <c r="E7" s="1376"/>
      <c r="F7" s="1376"/>
      <c r="G7" s="1376"/>
      <c r="H7" s="1376"/>
      <c r="I7" s="1376"/>
      <c r="J7" s="1376"/>
      <c r="K7" s="1376"/>
      <c r="L7" s="1376"/>
      <c r="M7" s="1376"/>
      <c r="N7" s="1376"/>
      <c r="O7" s="1376"/>
      <c r="P7" s="1376"/>
      <c r="Q7" s="1376"/>
      <c r="R7" s="1376"/>
      <c r="S7" s="1376"/>
      <c r="T7" s="1376"/>
      <c r="U7" s="1377"/>
    </row>
    <row r="8" spans="1:21" ht="24.95" customHeight="1">
      <c r="A8" s="1375"/>
      <c r="B8" s="1376"/>
      <c r="C8" s="1376" t="s">
        <v>439</v>
      </c>
      <c r="D8" s="1374" t="s">
        <v>440</v>
      </c>
      <c r="E8" s="1379">
        <f ca="1">'테라토5-단가적용'!J10</f>
        <v>1322</v>
      </c>
      <c r="F8" s="1374" t="s">
        <v>441</v>
      </c>
      <c r="G8" s="1376"/>
      <c r="H8" s="1376"/>
      <c r="I8" s="1376"/>
      <c r="J8" s="1376"/>
      <c r="K8" s="1376"/>
      <c r="L8" s="1376"/>
      <c r="M8" s="1376"/>
      <c r="N8" s="1376"/>
      <c r="O8" s="1376"/>
      <c r="P8" s="1376"/>
      <c r="Q8" s="1376"/>
      <c r="R8" s="1376"/>
      <c r="S8" s="1376"/>
      <c r="T8" s="1376"/>
      <c r="U8" s="1377"/>
    </row>
    <row r="9" spans="1:21" ht="24.95" customHeight="1">
      <c r="A9" s="1375"/>
      <c r="B9" s="1376"/>
      <c r="C9" s="1376"/>
      <c r="D9" s="1374"/>
      <c r="E9" s="1379"/>
      <c r="F9" s="1374"/>
      <c r="G9" s="1376"/>
      <c r="H9" s="1376"/>
      <c r="I9" s="1376"/>
      <c r="J9" s="1376"/>
      <c r="K9" s="1376"/>
      <c r="L9" s="1376"/>
      <c r="M9" s="1376"/>
      <c r="N9" s="1376"/>
      <c r="O9" s="1376"/>
      <c r="P9" s="1376"/>
      <c r="Q9" s="1376"/>
      <c r="R9" s="1376"/>
      <c r="S9" s="1376"/>
      <c r="T9" s="1376"/>
      <c r="U9" s="1377"/>
    </row>
    <row r="10" spans="1:21" ht="24.95" customHeight="1">
      <c r="A10" s="1375"/>
      <c r="B10" s="1376" t="s">
        <v>442</v>
      </c>
      <c r="C10" s="1376"/>
      <c r="D10" s="1374"/>
      <c r="E10" s="1376"/>
      <c r="F10" s="1376"/>
      <c r="G10" s="1376"/>
      <c r="H10" s="1376"/>
      <c r="I10" s="1376"/>
      <c r="J10" s="1376"/>
      <c r="K10" s="1376"/>
      <c r="L10" s="1376"/>
      <c r="M10" s="1376"/>
      <c r="N10" s="1376"/>
      <c r="O10" s="1376"/>
      <c r="P10" s="1376"/>
      <c r="Q10" s="1376"/>
      <c r="R10" s="1376"/>
      <c r="S10" s="1376"/>
      <c r="T10" s="1376"/>
      <c r="U10" s="1377"/>
    </row>
    <row r="11" spans="1:21" ht="24.95" customHeight="1">
      <c r="A11" s="1375"/>
      <c r="B11" s="1376"/>
      <c r="C11" s="1376" t="s">
        <v>408</v>
      </c>
      <c r="D11" s="1374" t="s">
        <v>440</v>
      </c>
      <c r="E11" s="1380">
        <f ca="1">'테라토5-단가적용'!J17</f>
        <v>98693</v>
      </c>
      <c r="F11" s="1374" t="s">
        <v>443</v>
      </c>
      <c r="G11" s="1374">
        <v>16</v>
      </c>
      <c r="H11" s="1374" t="s">
        <v>444</v>
      </c>
      <c r="I11" s="1374">
        <v>12</v>
      </c>
      <c r="J11" s="1374" t="s">
        <v>443</v>
      </c>
      <c r="K11" s="1374">
        <v>1</v>
      </c>
      <c r="L11" s="1374" t="s">
        <v>444</v>
      </c>
      <c r="M11" s="1374">
        <v>8</v>
      </c>
      <c r="N11" s="1374" t="s">
        <v>443</v>
      </c>
      <c r="O11" s="1374">
        <v>25</v>
      </c>
      <c r="P11" s="1374" t="s">
        <v>444</v>
      </c>
      <c r="Q11" s="1374">
        <v>20</v>
      </c>
      <c r="R11" s="1374" t="s">
        <v>445</v>
      </c>
      <c r="S11" s="1380">
        <f>ROUNDDOWN(E11*G11/I11*1/8*25/20,0)</f>
        <v>20561</v>
      </c>
      <c r="T11" s="1376"/>
      <c r="U11" s="1377"/>
    </row>
    <row r="12" spans="1:21" ht="24.95" customHeight="1">
      <c r="A12" s="1375"/>
      <c r="B12" s="1376"/>
      <c r="C12" s="1376" t="s">
        <v>410</v>
      </c>
      <c r="D12" s="1374" t="s">
        <v>440</v>
      </c>
      <c r="E12" s="1380">
        <f ca="1">'테라토5-단가적용'!J19</f>
        <v>55282</v>
      </c>
      <c r="F12" s="1374" t="s">
        <v>443</v>
      </c>
      <c r="G12" s="1374">
        <v>16</v>
      </c>
      <c r="H12" s="1374" t="s">
        <v>444</v>
      </c>
      <c r="I12" s="1374">
        <v>12</v>
      </c>
      <c r="J12" s="1374" t="s">
        <v>443</v>
      </c>
      <c r="K12" s="1374">
        <v>1</v>
      </c>
      <c r="L12" s="1374" t="s">
        <v>444</v>
      </c>
      <c r="M12" s="1374">
        <v>8</v>
      </c>
      <c r="N12" s="1374" t="s">
        <v>443</v>
      </c>
      <c r="O12" s="1374">
        <v>25</v>
      </c>
      <c r="P12" s="1374" t="s">
        <v>444</v>
      </c>
      <c r="Q12" s="1374">
        <v>20</v>
      </c>
      <c r="R12" s="1374" t="s">
        <v>445</v>
      </c>
      <c r="S12" s="1380">
        <f>ROUNDDOWN(E12*G12/I12*1/8*25/20,0)</f>
        <v>11517</v>
      </c>
      <c r="T12" s="1376"/>
      <c r="U12" s="1377"/>
    </row>
    <row r="13" spans="1:21" ht="24.95" customHeight="1">
      <c r="A13" s="1375"/>
      <c r="B13" s="1376"/>
      <c r="C13" s="1376" t="s">
        <v>411</v>
      </c>
      <c r="D13" s="1374" t="s">
        <v>440</v>
      </c>
      <c r="E13" s="1380">
        <f ca="1">'테라토5-단가적용'!J18</f>
        <v>94350</v>
      </c>
      <c r="F13" s="1374" t="s">
        <v>443</v>
      </c>
      <c r="G13" s="1374">
        <v>16</v>
      </c>
      <c r="H13" s="1374" t="s">
        <v>444</v>
      </c>
      <c r="I13" s="1374">
        <v>12</v>
      </c>
      <c r="J13" s="1374" t="s">
        <v>443</v>
      </c>
      <c r="K13" s="1374">
        <v>1</v>
      </c>
      <c r="L13" s="1374" t="s">
        <v>444</v>
      </c>
      <c r="M13" s="1374">
        <v>8</v>
      </c>
      <c r="N13" s="1374" t="s">
        <v>443</v>
      </c>
      <c r="O13" s="1374">
        <v>25</v>
      </c>
      <c r="P13" s="1374" t="s">
        <v>444</v>
      </c>
      <c r="Q13" s="1374">
        <v>20</v>
      </c>
      <c r="R13" s="1374" t="s">
        <v>445</v>
      </c>
      <c r="S13" s="1380">
        <f>ROUNDDOWN(E13*G13/I13*1/8*25/20,0)</f>
        <v>19656</v>
      </c>
      <c r="T13" s="1376"/>
      <c r="U13" s="1377"/>
    </row>
    <row r="14" spans="1:21" ht="24.95" customHeight="1">
      <c r="A14" s="1375"/>
      <c r="B14" s="1376"/>
      <c r="C14" s="1376" t="s">
        <v>446</v>
      </c>
      <c r="D14" s="1374" t="s">
        <v>440</v>
      </c>
      <c r="E14" s="1381">
        <f ca="1">'테라토5-단가적용'!J20</f>
        <v>84942</v>
      </c>
      <c r="F14" s="1374" t="s">
        <v>443</v>
      </c>
      <c r="G14" s="1374">
        <v>16</v>
      </c>
      <c r="H14" s="1374" t="s">
        <v>444</v>
      </c>
      <c r="I14" s="1374">
        <v>12</v>
      </c>
      <c r="J14" s="1374" t="s">
        <v>443</v>
      </c>
      <c r="K14" s="1374">
        <v>1</v>
      </c>
      <c r="L14" s="1374" t="s">
        <v>444</v>
      </c>
      <c r="M14" s="1374">
        <v>8</v>
      </c>
      <c r="N14" s="1374" t="s">
        <v>443</v>
      </c>
      <c r="O14" s="1374">
        <v>25</v>
      </c>
      <c r="P14" s="1374" t="s">
        <v>444</v>
      </c>
      <c r="Q14" s="1374">
        <v>20</v>
      </c>
      <c r="R14" s="1374" t="s">
        <v>445</v>
      </c>
      <c r="S14" s="1380">
        <f>ROUNDDOWN(E14*G14/I14*1/8*25/20,0)</f>
        <v>17696</v>
      </c>
      <c r="T14" s="1376"/>
      <c r="U14" s="1377"/>
    </row>
    <row r="15" spans="1:21" ht="24.95" customHeight="1">
      <c r="A15" s="1375"/>
      <c r="B15" s="1376"/>
      <c r="C15" s="1376"/>
      <c r="D15" s="1374"/>
      <c r="E15" s="1376"/>
      <c r="F15" s="1376"/>
      <c r="G15" s="1376"/>
      <c r="H15" s="1376"/>
      <c r="I15" s="1376"/>
      <c r="J15" s="1376"/>
      <c r="K15" s="1376"/>
      <c r="L15" s="1376"/>
      <c r="M15" s="1376"/>
      <c r="N15" s="1376"/>
      <c r="O15" s="1376"/>
      <c r="P15" s="1376"/>
      <c r="Q15" s="1376"/>
      <c r="R15" s="1376"/>
      <c r="S15" s="1376"/>
      <c r="T15" s="1376"/>
      <c r="U15" s="1377"/>
    </row>
    <row r="16" spans="1:21" ht="24.95" customHeight="1">
      <c r="A16" s="1375"/>
      <c r="B16" s="1376"/>
      <c r="C16" s="1376"/>
      <c r="D16" s="1374"/>
      <c r="E16" s="1376"/>
      <c r="F16" s="1376"/>
      <c r="G16" s="1376"/>
      <c r="H16" s="1376"/>
      <c r="I16" s="1376"/>
      <c r="J16" s="1376"/>
      <c r="K16" s="1376"/>
      <c r="L16" s="1376"/>
      <c r="M16" s="1376"/>
      <c r="N16" s="1376"/>
      <c r="O16" s="1376"/>
      <c r="P16" s="1376"/>
      <c r="Q16" s="1376"/>
      <c r="R16" s="1376"/>
      <c r="S16" s="1376"/>
      <c r="T16" s="1376"/>
      <c r="U16" s="1377"/>
    </row>
    <row r="17" spans="1:21" ht="38.25" customHeight="1">
      <c r="A17" s="1382"/>
      <c r="B17" s="1383"/>
      <c r="C17" s="1383"/>
      <c r="D17" s="1384"/>
      <c r="E17" s="1383"/>
      <c r="F17" s="1383"/>
      <c r="G17" s="1383"/>
      <c r="H17" s="1383"/>
      <c r="I17" s="1383"/>
      <c r="J17" s="1383"/>
      <c r="K17" s="1383"/>
      <c r="L17" s="1383"/>
      <c r="M17" s="1383"/>
      <c r="N17" s="1383"/>
      <c r="O17" s="1383"/>
      <c r="P17" s="1383"/>
      <c r="Q17" s="1383"/>
      <c r="R17" s="1383"/>
      <c r="S17" s="1383"/>
      <c r="T17" s="1383"/>
      <c r="U17" s="1385"/>
    </row>
  </sheetData>
  <mergeCells count="1">
    <mergeCell ref="A2:U2"/>
  </mergeCells>
  <phoneticPr fontId="116" type="noConversion"/>
  <pageMargins left="0.77" right="0.75" top="1.03" bottom="1" header="0.5" footer="0.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8" sqref="A8"/>
    </sheetView>
  </sheetViews>
  <sheetFormatPr defaultColWidth="8" defaultRowHeight="13.5"/>
  <cols>
    <col min="1" max="1" width="17.44140625" style="1289" customWidth="1"/>
    <col min="2" max="2" width="19" style="1289" customWidth="1"/>
    <col min="3" max="3" width="5.21875" style="1289" customWidth="1"/>
    <col min="4" max="9" width="10.33203125" style="1289" customWidth="1"/>
    <col min="10" max="10" width="12.6640625" style="1289" customWidth="1"/>
    <col min="11" max="16384" width="8" style="1289"/>
  </cols>
  <sheetData>
    <row r="1" spans="1:10" ht="18" customHeight="1">
      <c r="A1" s="1643" t="s">
        <v>329</v>
      </c>
      <c r="B1" s="1645" t="s">
        <v>330</v>
      </c>
      <c r="C1" s="1645" t="s">
        <v>983</v>
      </c>
      <c r="D1" s="1649" t="s">
        <v>447</v>
      </c>
      <c r="E1" s="1650"/>
      <c r="F1" s="1651" t="s">
        <v>448</v>
      </c>
      <c r="G1" s="1652"/>
      <c r="H1" s="1386" t="s">
        <v>449</v>
      </c>
      <c r="I1" s="1387"/>
      <c r="J1" s="1647" t="s">
        <v>331</v>
      </c>
    </row>
    <row r="2" spans="1:10" ht="18" customHeight="1">
      <c r="A2" s="1644"/>
      <c r="B2" s="1646"/>
      <c r="C2" s="1646"/>
      <c r="D2" s="1388" t="s">
        <v>926</v>
      </c>
      <c r="E2" s="1389" t="s">
        <v>332</v>
      </c>
      <c r="F2" s="1388" t="s">
        <v>926</v>
      </c>
      <c r="G2" s="1389" t="s">
        <v>332</v>
      </c>
      <c r="H2" s="1388" t="s">
        <v>926</v>
      </c>
      <c r="I2" s="1389" t="s">
        <v>332</v>
      </c>
      <c r="J2" s="1648"/>
    </row>
    <row r="3" spans="1:10" ht="18" customHeight="1">
      <c r="A3" s="1390" t="s">
        <v>450</v>
      </c>
      <c r="B3" s="1391" t="s">
        <v>451</v>
      </c>
      <c r="C3" s="1392" t="s">
        <v>452</v>
      </c>
      <c r="D3" s="1392"/>
      <c r="E3" s="1393"/>
      <c r="F3" s="1393"/>
      <c r="G3" s="1393"/>
      <c r="H3" s="1394">
        <v>287</v>
      </c>
      <c r="I3" s="1389">
        <v>600</v>
      </c>
      <c r="J3" s="1395">
        <f>I3</f>
        <v>600</v>
      </c>
    </row>
    <row r="4" spans="1:10" ht="18" customHeight="1">
      <c r="A4" s="1390" t="s">
        <v>453</v>
      </c>
      <c r="B4" s="1391" t="s">
        <v>454</v>
      </c>
      <c r="C4" s="1392" t="s">
        <v>452</v>
      </c>
      <c r="D4" s="1392"/>
      <c r="E4" s="1393"/>
      <c r="F4" s="1393"/>
      <c r="G4" s="1393"/>
      <c r="H4" s="1394">
        <v>287</v>
      </c>
      <c r="I4" s="1396">
        <v>400</v>
      </c>
      <c r="J4" s="1395">
        <f t="shared" ref="J4:J9" si="0">I4</f>
        <v>400</v>
      </c>
    </row>
    <row r="5" spans="1:10" ht="18" customHeight="1">
      <c r="A5" s="1390" t="s">
        <v>455</v>
      </c>
      <c r="B5" s="1391" t="s">
        <v>371</v>
      </c>
      <c r="C5" s="1392" t="s">
        <v>456</v>
      </c>
      <c r="D5" s="1392"/>
      <c r="E5" s="1393"/>
      <c r="F5" s="1393"/>
      <c r="G5" s="1393">
        <v>50000</v>
      </c>
      <c r="H5" s="1394"/>
      <c r="I5" s="1396"/>
      <c r="J5" s="1395">
        <f>G5</f>
        <v>50000</v>
      </c>
    </row>
    <row r="6" spans="1:10" ht="18" customHeight="1">
      <c r="A6" s="1390" t="s">
        <v>457</v>
      </c>
      <c r="B6" s="1391" t="s">
        <v>458</v>
      </c>
      <c r="C6" s="1392" t="s">
        <v>459</v>
      </c>
      <c r="D6" s="1392"/>
      <c r="E6" s="1393"/>
      <c r="F6" s="1393"/>
      <c r="G6" s="1393"/>
      <c r="H6" s="1394">
        <v>287</v>
      </c>
      <c r="I6" s="1396">
        <v>240</v>
      </c>
      <c r="J6" s="1395">
        <f t="shared" si="0"/>
        <v>240</v>
      </c>
    </row>
    <row r="7" spans="1:10" ht="19.5" customHeight="1">
      <c r="A7" s="1390" t="s">
        <v>460</v>
      </c>
      <c r="B7" s="1397" t="s">
        <v>363</v>
      </c>
      <c r="C7" s="1392" t="s">
        <v>461</v>
      </c>
      <c r="D7" s="1392"/>
      <c r="E7" s="1393"/>
      <c r="F7" s="1393"/>
      <c r="G7" s="1393">
        <v>2200</v>
      </c>
      <c r="H7" s="1394"/>
      <c r="I7" s="1396"/>
      <c r="J7" s="1395">
        <f>G7</f>
        <v>2200</v>
      </c>
    </row>
    <row r="8" spans="1:10" ht="19.5" customHeight="1">
      <c r="A8" s="1390" t="s">
        <v>381</v>
      </c>
      <c r="B8" s="1391" t="s">
        <v>382</v>
      </c>
      <c r="C8" s="1392" t="s">
        <v>383</v>
      </c>
      <c r="D8" s="1392"/>
      <c r="E8" s="1393"/>
      <c r="F8" s="1393"/>
      <c r="G8" s="1393"/>
      <c r="H8" s="1394">
        <v>302</v>
      </c>
      <c r="I8" s="1396">
        <v>18000</v>
      </c>
      <c r="J8" s="1395">
        <f>I8</f>
        <v>18000</v>
      </c>
    </row>
    <row r="9" spans="1:10" ht="19.5" customHeight="1">
      <c r="A9" s="1390" t="s">
        <v>462</v>
      </c>
      <c r="B9" s="1391" t="s">
        <v>463</v>
      </c>
      <c r="C9" s="1392" t="s">
        <v>464</v>
      </c>
      <c r="D9" s="1392"/>
      <c r="E9" s="1393"/>
      <c r="F9" s="1393"/>
      <c r="G9" s="1393"/>
      <c r="H9" s="1394">
        <v>302</v>
      </c>
      <c r="I9" s="1393">
        <v>185000</v>
      </c>
      <c r="J9" s="1395">
        <f t="shared" si="0"/>
        <v>185000</v>
      </c>
    </row>
    <row r="10" spans="1:10" ht="19.5" customHeight="1">
      <c r="A10" s="1390" t="s">
        <v>465</v>
      </c>
      <c r="B10" s="1391"/>
      <c r="C10" s="1392" t="s">
        <v>466</v>
      </c>
      <c r="D10" s="1392"/>
      <c r="E10" s="1393"/>
      <c r="F10" s="1393"/>
      <c r="G10" s="1393"/>
      <c r="H10" s="1394">
        <v>1255</v>
      </c>
      <c r="I10" s="1396">
        <v>1322</v>
      </c>
      <c r="J10" s="1398">
        <f>I10</f>
        <v>1322</v>
      </c>
    </row>
    <row r="11" spans="1:10" ht="13.5" customHeight="1">
      <c r="A11" s="1390"/>
      <c r="B11" s="1391"/>
      <c r="C11" s="1392"/>
      <c r="D11" s="1392"/>
      <c r="E11" s="1393"/>
      <c r="F11" s="1393"/>
      <c r="G11" s="1393"/>
      <c r="H11" s="1396"/>
      <c r="I11" s="1396"/>
      <c r="J11" s="1398"/>
    </row>
    <row r="12" spans="1:10" ht="18" customHeight="1">
      <c r="A12" s="1399" t="s">
        <v>467</v>
      </c>
      <c r="B12" s="1391"/>
      <c r="C12" s="1392" t="s">
        <v>468</v>
      </c>
      <c r="D12" s="1392"/>
      <c r="E12" s="1392"/>
      <c r="F12" s="1392"/>
      <c r="G12" s="1392"/>
      <c r="H12" s="1400"/>
      <c r="I12" s="1400"/>
      <c r="J12" s="1395">
        <v>68965</v>
      </c>
    </row>
    <row r="13" spans="1:10" ht="18" customHeight="1">
      <c r="A13" s="1399" t="s">
        <v>469</v>
      </c>
      <c r="B13" s="1391"/>
      <c r="C13" s="1392" t="s">
        <v>468</v>
      </c>
      <c r="D13" s="1392"/>
      <c r="E13" s="1392"/>
      <c r="F13" s="1392"/>
      <c r="G13" s="1392"/>
      <c r="H13" s="1400"/>
      <c r="I13" s="1400"/>
      <c r="J13" s="1395">
        <v>84404</v>
      </c>
    </row>
    <row r="14" spans="1:10" ht="18" customHeight="1">
      <c r="A14" s="1399" t="s">
        <v>470</v>
      </c>
      <c r="B14" s="1391"/>
      <c r="C14" s="1392" t="s">
        <v>468</v>
      </c>
      <c r="D14" s="1392"/>
      <c r="E14" s="1392"/>
      <c r="F14" s="1392"/>
      <c r="G14" s="1392"/>
      <c r="H14" s="1400"/>
      <c r="I14" s="1400"/>
      <c r="J14" s="1395">
        <v>92218</v>
      </c>
    </row>
    <row r="15" spans="1:10" ht="18" customHeight="1">
      <c r="A15" s="1399" t="s">
        <v>471</v>
      </c>
      <c r="B15" s="1391"/>
      <c r="C15" s="1392" t="s">
        <v>468</v>
      </c>
      <c r="D15" s="1392"/>
      <c r="E15" s="1392"/>
      <c r="F15" s="1392"/>
      <c r="G15" s="1392"/>
      <c r="H15" s="1400"/>
      <c r="I15" s="1400"/>
      <c r="J15" s="1395">
        <v>86521</v>
      </c>
    </row>
    <row r="16" spans="1:10" ht="18" customHeight="1">
      <c r="A16" s="1399" t="s">
        <v>472</v>
      </c>
      <c r="B16" s="1391"/>
      <c r="C16" s="1392" t="s">
        <v>468</v>
      </c>
      <c r="D16" s="1392"/>
      <c r="E16" s="1392"/>
      <c r="F16" s="1392"/>
      <c r="G16" s="1392"/>
      <c r="H16" s="1400"/>
      <c r="I16" s="1400"/>
      <c r="J16" s="1395">
        <v>79533</v>
      </c>
    </row>
    <row r="17" spans="1:10" ht="18" customHeight="1">
      <c r="A17" s="1390" t="s">
        <v>473</v>
      </c>
      <c r="B17" s="1391"/>
      <c r="C17" s="1392" t="s">
        <v>351</v>
      </c>
      <c r="D17" s="1392"/>
      <c r="E17" s="1392"/>
      <c r="F17" s="1392"/>
      <c r="G17" s="1392"/>
      <c r="H17" s="1396"/>
      <c r="I17" s="1396"/>
      <c r="J17" s="1398">
        <v>98693</v>
      </c>
    </row>
    <row r="18" spans="1:10" ht="18" customHeight="1">
      <c r="A18" s="1390" t="s">
        <v>474</v>
      </c>
      <c r="B18" s="1391"/>
      <c r="C18" s="1392" t="s">
        <v>351</v>
      </c>
      <c r="D18" s="1392"/>
      <c r="E18" s="1392"/>
      <c r="F18" s="1392"/>
      <c r="G18" s="1392"/>
      <c r="H18" s="1396"/>
      <c r="I18" s="1396"/>
      <c r="J18" s="1398">
        <v>94350</v>
      </c>
    </row>
    <row r="19" spans="1:10" ht="18" customHeight="1">
      <c r="A19" s="1390" t="s">
        <v>475</v>
      </c>
      <c r="B19" s="1391"/>
      <c r="C19" s="1392" t="s">
        <v>351</v>
      </c>
      <c r="D19" s="1392"/>
      <c r="E19" s="1392"/>
      <c r="F19" s="1392"/>
      <c r="G19" s="1392"/>
      <c r="H19" s="1400"/>
      <c r="I19" s="1400"/>
      <c r="J19" s="1398">
        <v>55282</v>
      </c>
    </row>
    <row r="20" spans="1:10" ht="18" customHeight="1">
      <c r="A20" s="1399" t="s">
        <v>476</v>
      </c>
      <c r="B20" s="1391"/>
      <c r="C20" s="1392" t="s">
        <v>351</v>
      </c>
      <c r="D20" s="1392"/>
      <c r="E20" s="1392"/>
      <c r="F20" s="1392"/>
      <c r="G20" s="1392"/>
      <c r="H20" s="1400"/>
      <c r="I20" s="1400"/>
      <c r="J20" s="1395">
        <v>84942</v>
      </c>
    </row>
    <row r="21" spans="1:10" ht="18" customHeight="1">
      <c r="A21" s="1399"/>
      <c r="B21" s="1391"/>
      <c r="C21" s="1392"/>
      <c r="D21" s="1392"/>
      <c r="E21" s="1392"/>
      <c r="F21" s="1392"/>
      <c r="G21" s="1392"/>
      <c r="H21" s="1400"/>
      <c r="I21" s="1400"/>
      <c r="J21" s="1395"/>
    </row>
    <row r="22" spans="1:10" ht="18" customHeight="1">
      <c r="A22" s="1399"/>
      <c r="B22" s="1391"/>
      <c r="C22" s="1392"/>
      <c r="D22" s="1392"/>
      <c r="E22" s="1392"/>
      <c r="F22" s="1392"/>
      <c r="G22" s="1392"/>
      <c r="H22" s="1400"/>
      <c r="I22" s="1400"/>
      <c r="J22" s="1395"/>
    </row>
    <row r="23" spans="1:10" ht="18" customHeight="1">
      <c r="A23" s="1399"/>
      <c r="B23" s="1391"/>
      <c r="C23" s="1392"/>
      <c r="D23" s="1392"/>
      <c r="E23" s="1392"/>
      <c r="F23" s="1392"/>
      <c r="G23" s="1392"/>
      <c r="H23" s="1400"/>
      <c r="I23" s="1400"/>
      <c r="J23" s="1395"/>
    </row>
    <row r="24" spans="1:10" ht="18" customHeight="1">
      <c r="A24" s="1401" t="s">
        <v>477</v>
      </c>
      <c r="B24" s="1402"/>
      <c r="C24" s="1403"/>
      <c r="D24" s="1403"/>
      <c r="E24" s="1403"/>
      <c r="F24" s="1403"/>
      <c r="G24" s="1403"/>
      <c r="H24" s="1404"/>
      <c r="I24" s="1404"/>
      <c r="J24" s="1405"/>
    </row>
  </sheetData>
  <mergeCells count="6">
    <mergeCell ref="A1:A2"/>
    <mergeCell ref="B1:B2"/>
    <mergeCell ref="C1:C2"/>
    <mergeCell ref="J1:J2"/>
    <mergeCell ref="D1:E1"/>
    <mergeCell ref="F1:G1"/>
  </mergeCells>
  <phoneticPr fontId="116" type="noConversion"/>
  <pageMargins left="0.85" right="0.75" top="1.1299999999999999" bottom="0.64" header="0.5" footer="0.5"/>
  <pageSetup paperSize="9" orientation="landscape" horizontalDpi="300" verticalDpi="300" r:id="rId1"/>
  <headerFooter alignWithMargins="0">
    <oddHeader>&amp;L적용단가-자재 및 인건비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N20"/>
  <sheetViews>
    <sheetView zoomScale="98" workbookViewId="0">
      <pane ySplit="2" topLeftCell="A3" activePane="bottomLeft" state="frozen"/>
      <selection activeCell="A6" sqref="A6:F6"/>
      <selection pane="bottomLeft" activeCell="A6" sqref="A6:F6"/>
    </sheetView>
  </sheetViews>
  <sheetFormatPr defaultColWidth="8" defaultRowHeight="13.5"/>
  <cols>
    <col min="1" max="1" width="7.33203125" style="1417" customWidth="1"/>
    <col min="2" max="2" width="6.5546875" style="1417" customWidth="1"/>
    <col min="3" max="3" width="11.33203125" style="1417" customWidth="1"/>
    <col min="4" max="4" width="7.6640625" style="1417" customWidth="1"/>
    <col min="5" max="5" width="4.88671875" style="1417" customWidth="1"/>
    <col min="6" max="6" width="9.21875" style="1417" customWidth="1"/>
    <col min="7" max="7" width="9.88671875" style="1417" customWidth="1"/>
    <col min="8" max="13" width="9.44140625" style="1417" customWidth="1"/>
    <col min="14" max="15" width="8.5546875" style="1417" customWidth="1"/>
    <col min="16" max="17" width="7.6640625" style="1417" customWidth="1"/>
    <col min="18" max="20" width="5.88671875" style="1417" customWidth="1"/>
    <col min="21" max="16384" width="8" style="1417"/>
  </cols>
  <sheetData>
    <row r="1" spans="1:14" s="1406" customFormat="1" ht="21.95" customHeight="1">
      <c r="A1" s="1621" t="s">
        <v>478</v>
      </c>
      <c r="B1" s="1617"/>
      <c r="C1" s="1617" t="s">
        <v>479</v>
      </c>
      <c r="D1" s="1617" t="s">
        <v>480</v>
      </c>
      <c r="E1" s="1617" t="s">
        <v>481</v>
      </c>
      <c r="F1" s="1625" t="s">
        <v>482</v>
      </c>
      <c r="G1" s="1625"/>
      <c r="H1" s="1617" t="s">
        <v>483</v>
      </c>
      <c r="I1" s="1617"/>
      <c r="J1" s="1617" t="s">
        <v>484</v>
      </c>
      <c r="K1" s="1617"/>
      <c r="L1" s="1617" t="s">
        <v>485</v>
      </c>
      <c r="M1" s="1617"/>
      <c r="N1" s="1623" t="s">
        <v>486</v>
      </c>
    </row>
    <row r="2" spans="1:14" s="1406" customFormat="1" ht="21.95" customHeight="1">
      <c r="A2" s="1622"/>
      <c r="B2" s="1618"/>
      <c r="C2" s="1618"/>
      <c r="D2" s="1618"/>
      <c r="E2" s="1618"/>
      <c r="F2" s="1271" t="s">
        <v>487</v>
      </c>
      <c r="G2" s="1272" t="s">
        <v>488</v>
      </c>
      <c r="H2" s="1271" t="s">
        <v>487</v>
      </c>
      <c r="I2" s="1271" t="s">
        <v>488</v>
      </c>
      <c r="J2" s="1271" t="s">
        <v>487</v>
      </c>
      <c r="K2" s="1271" t="s">
        <v>488</v>
      </c>
      <c r="L2" s="1271" t="s">
        <v>487</v>
      </c>
      <c r="M2" s="1271" t="s">
        <v>488</v>
      </c>
      <c r="N2" s="1624"/>
    </row>
    <row r="3" spans="1:14" s="1406" customFormat="1" ht="21.95" customHeight="1">
      <c r="A3" s="1619" t="str">
        <f ca="1">'테라토7-일위대가'!A3</f>
        <v xml:space="preserve">제 1호표 앙카핀 및 착지핀 홀천공 </v>
      </c>
      <c r="B3" s="1620"/>
      <c r="C3" s="1620"/>
      <c r="D3" s="1620"/>
      <c r="E3" s="1620"/>
      <c r="F3" s="1620"/>
      <c r="G3" s="1274"/>
      <c r="H3" s="1275"/>
      <c r="I3" s="1275"/>
      <c r="J3" s="1275"/>
      <c r="K3" s="1275"/>
      <c r="L3" s="1275"/>
      <c r="M3" s="1275"/>
      <c r="N3" s="1273"/>
    </row>
    <row r="4" spans="1:14" s="1406" customFormat="1" ht="21.95" customHeight="1">
      <c r="A4" s="1610" t="str">
        <f ca="1">'테라토7-일위대가'!A9</f>
        <v xml:space="preserve">제 2호표 앙카핀 및 착지핀 설치 </v>
      </c>
      <c r="B4" s="1611"/>
      <c r="C4" s="1611"/>
      <c r="D4" s="1611"/>
      <c r="E4" s="1611"/>
      <c r="F4" s="1612"/>
      <c r="G4" s="1276"/>
      <c r="H4" s="1275"/>
      <c r="I4" s="1275"/>
      <c r="J4" s="1275"/>
      <c r="K4" s="1275"/>
      <c r="L4" s="1275"/>
      <c r="M4" s="1275"/>
      <c r="N4" s="1273"/>
    </row>
    <row r="5" spans="1:14" s="1406" customFormat="1" ht="21.95" customHeight="1">
      <c r="A5" s="1610" t="str">
        <f ca="1">'테라토7-일위대가'!A17</f>
        <v xml:space="preserve">제 3호표 능형망 설치 </v>
      </c>
      <c r="B5" s="1611"/>
      <c r="C5" s="1611"/>
      <c r="D5" s="1611"/>
      <c r="E5" s="1611"/>
      <c r="F5" s="1612"/>
      <c r="G5" s="1276"/>
      <c r="H5" s="1407"/>
      <c r="I5" s="1408"/>
      <c r="J5" s="1407"/>
      <c r="K5" s="1408"/>
      <c r="L5" s="1407"/>
      <c r="M5" s="1408"/>
      <c r="N5" s="1273"/>
    </row>
    <row r="6" spans="1:14" s="1406" customFormat="1" ht="21.95" customHeight="1">
      <c r="A6" s="1610" t="str">
        <f ca="1">'테라토7-일위대가'!A24</f>
        <v>제 4호표 취부공 품셈</v>
      </c>
      <c r="B6" s="1611"/>
      <c r="C6" s="1611"/>
      <c r="D6" s="1611"/>
      <c r="E6" s="1611"/>
      <c r="F6" s="1612"/>
      <c r="G6" s="1276"/>
      <c r="H6" s="1407"/>
      <c r="I6" s="1408"/>
      <c r="J6" s="1407"/>
      <c r="K6" s="1408"/>
      <c r="L6" s="1407"/>
      <c r="M6" s="1408"/>
      <c r="N6" s="1273"/>
    </row>
    <row r="7" spans="1:14" s="1406" customFormat="1" ht="21.95" customHeight="1">
      <c r="A7" s="1279"/>
      <c r="B7" s="1280"/>
      <c r="C7" s="1409"/>
      <c r="D7" s="1409"/>
      <c r="E7" s="1409"/>
      <c r="F7" s="1409"/>
      <c r="G7" s="1276"/>
      <c r="H7" s="1410"/>
      <c r="I7" s="1411"/>
      <c r="J7" s="1410"/>
      <c r="K7" s="1411"/>
      <c r="L7" s="1410"/>
      <c r="M7" s="1411"/>
      <c r="N7" s="1412"/>
    </row>
    <row r="8" spans="1:14" ht="21.95" customHeight="1">
      <c r="A8" s="1279"/>
      <c r="B8" s="1280"/>
      <c r="C8" s="1409"/>
      <c r="D8" s="1409"/>
      <c r="E8" s="1409"/>
      <c r="F8" s="1409"/>
      <c r="G8" s="1413"/>
      <c r="H8" s="1414"/>
      <c r="I8" s="1415"/>
      <c r="J8" s="1414"/>
      <c r="K8" s="1415"/>
      <c r="L8" s="1414"/>
      <c r="M8" s="1415"/>
      <c r="N8" s="1416"/>
    </row>
    <row r="9" spans="1:14" ht="21.95" customHeight="1">
      <c r="A9" s="1615"/>
      <c r="B9" s="1616"/>
      <c r="C9" s="1418"/>
      <c r="D9" s="1409"/>
      <c r="E9" s="1409"/>
      <c r="F9" s="1409"/>
      <c r="G9" s="1413"/>
      <c r="H9" s="1419"/>
      <c r="I9" s="1419"/>
      <c r="J9" s="1419"/>
      <c r="K9" s="1419"/>
      <c r="L9" s="1419"/>
      <c r="M9" s="1419"/>
      <c r="N9" s="1420"/>
    </row>
    <row r="10" spans="1:14" ht="21.95" customHeight="1">
      <c r="A10" s="1615"/>
      <c r="B10" s="1616"/>
      <c r="C10" s="1418"/>
      <c r="D10" s="1421"/>
      <c r="E10" s="1421"/>
      <c r="F10" s="1421"/>
      <c r="G10" s="1422"/>
      <c r="H10" s="1423"/>
      <c r="I10" s="1423"/>
      <c r="J10" s="1423"/>
      <c r="K10" s="1423"/>
      <c r="L10" s="1423"/>
      <c r="M10" s="1423"/>
      <c r="N10" s="1424"/>
    </row>
    <row r="11" spans="1:14" ht="21.95" customHeight="1">
      <c r="A11" s="1608"/>
      <c r="B11" s="1609"/>
      <c r="C11" s="1425"/>
      <c r="D11" s="1423"/>
      <c r="E11" s="1423"/>
      <c r="F11" s="1423"/>
      <c r="G11" s="1426"/>
      <c r="H11" s="1423"/>
      <c r="I11" s="1423"/>
      <c r="J11" s="1423"/>
      <c r="K11" s="1423"/>
      <c r="L11" s="1423"/>
      <c r="M11" s="1423"/>
      <c r="N11" s="1424"/>
    </row>
    <row r="12" spans="1:14" ht="21.95" customHeight="1">
      <c r="A12" s="1608"/>
      <c r="B12" s="1609"/>
      <c r="C12" s="1425"/>
      <c r="D12" s="1423"/>
      <c r="E12" s="1423"/>
      <c r="F12" s="1423"/>
      <c r="G12" s="1426"/>
      <c r="H12" s="1423"/>
      <c r="I12" s="1423"/>
      <c r="J12" s="1423"/>
      <c r="K12" s="1423"/>
      <c r="L12" s="1423"/>
      <c r="M12" s="1423"/>
      <c r="N12" s="1424"/>
    </row>
    <row r="13" spans="1:14" ht="21.95" customHeight="1">
      <c r="A13" s="1608"/>
      <c r="B13" s="1609"/>
      <c r="C13" s="1425"/>
      <c r="D13" s="1423"/>
      <c r="E13" s="1423"/>
      <c r="F13" s="1423"/>
      <c r="G13" s="1426"/>
      <c r="H13" s="1423"/>
      <c r="I13" s="1423"/>
      <c r="J13" s="1423"/>
      <c r="K13" s="1423"/>
      <c r="L13" s="1423"/>
      <c r="M13" s="1423"/>
      <c r="N13" s="1424"/>
    </row>
    <row r="14" spans="1:14" ht="21.95" customHeight="1">
      <c r="A14" s="1608"/>
      <c r="B14" s="1609"/>
      <c r="C14" s="1423"/>
      <c r="D14" s="1423"/>
      <c r="E14" s="1423"/>
      <c r="F14" s="1423"/>
      <c r="G14" s="1423"/>
      <c r="H14" s="1423"/>
      <c r="I14" s="1423"/>
      <c r="J14" s="1423"/>
      <c r="K14" s="1423"/>
      <c r="L14" s="1423"/>
      <c r="M14" s="1423"/>
      <c r="N14" s="1424"/>
    </row>
    <row r="15" spans="1:14" ht="21.95" customHeight="1">
      <c r="A15" s="1608"/>
      <c r="B15" s="1609"/>
      <c r="C15" s="1423"/>
      <c r="D15" s="1423"/>
      <c r="E15" s="1423"/>
      <c r="F15" s="1423"/>
      <c r="G15" s="1423"/>
      <c r="H15" s="1423"/>
      <c r="I15" s="1423"/>
      <c r="J15" s="1423"/>
      <c r="K15" s="1423"/>
      <c r="L15" s="1423"/>
      <c r="M15" s="1423"/>
      <c r="N15" s="1424"/>
    </row>
    <row r="16" spans="1:14" ht="21.95" customHeight="1">
      <c r="A16" s="1608"/>
      <c r="B16" s="1609"/>
      <c r="C16" s="1423"/>
      <c r="D16" s="1423"/>
      <c r="E16" s="1423"/>
      <c r="F16" s="1423"/>
      <c r="G16" s="1423"/>
      <c r="H16" s="1423"/>
      <c r="I16" s="1423"/>
      <c r="J16" s="1423"/>
      <c r="K16" s="1423"/>
      <c r="L16" s="1423"/>
      <c r="M16" s="1423"/>
      <c r="N16" s="1424"/>
    </row>
    <row r="17" spans="1:14" ht="21.95" customHeight="1">
      <c r="A17" s="1608"/>
      <c r="B17" s="1609"/>
      <c r="C17" s="1427"/>
      <c r="D17" s="1427"/>
      <c r="E17" s="1427"/>
      <c r="F17" s="1427"/>
      <c r="G17" s="1427"/>
      <c r="H17" s="1427"/>
      <c r="I17" s="1427"/>
      <c r="J17" s="1427"/>
      <c r="K17" s="1427"/>
      <c r="L17" s="1427"/>
      <c r="M17" s="1427"/>
      <c r="N17" s="1424"/>
    </row>
    <row r="18" spans="1:14" ht="21.95" customHeight="1">
      <c r="A18" s="1608"/>
      <c r="B18" s="1609"/>
      <c r="C18" s="1427"/>
      <c r="D18" s="1427"/>
      <c r="E18" s="1427"/>
      <c r="F18" s="1427"/>
      <c r="G18" s="1427"/>
      <c r="H18" s="1427"/>
      <c r="I18" s="1427"/>
      <c r="J18" s="1427"/>
      <c r="K18" s="1427"/>
      <c r="L18" s="1427"/>
      <c r="M18" s="1427"/>
      <c r="N18" s="1424"/>
    </row>
    <row r="19" spans="1:14" ht="21.95" customHeight="1">
      <c r="A19" s="1608"/>
      <c r="B19" s="1609"/>
      <c r="C19" s="1427"/>
      <c r="D19" s="1427"/>
      <c r="E19" s="1427"/>
      <c r="F19" s="1427"/>
      <c r="G19" s="1427"/>
      <c r="H19" s="1427"/>
      <c r="I19" s="1427"/>
      <c r="J19" s="1427"/>
      <c r="K19" s="1427"/>
      <c r="L19" s="1427"/>
      <c r="M19" s="1427"/>
      <c r="N19" s="1424"/>
    </row>
    <row r="20" spans="1:14" ht="21.95" customHeight="1">
      <c r="A20" s="1613"/>
      <c r="B20" s="1614"/>
      <c r="C20" s="1428"/>
      <c r="D20" s="1428"/>
      <c r="E20" s="1428"/>
      <c r="F20" s="1428"/>
      <c r="G20" s="1428"/>
      <c r="H20" s="1428"/>
      <c r="I20" s="1428"/>
      <c r="J20" s="1428"/>
      <c r="K20" s="1428"/>
      <c r="L20" s="1428"/>
      <c r="M20" s="1428"/>
      <c r="N20" s="1429"/>
    </row>
  </sheetData>
  <mergeCells count="25">
    <mergeCell ref="N1:N2"/>
    <mergeCell ref="E1:E2"/>
    <mergeCell ref="H1:I1"/>
    <mergeCell ref="J1:K1"/>
    <mergeCell ref="F1:G1"/>
    <mergeCell ref="A11:B11"/>
    <mergeCell ref="A12:B12"/>
    <mergeCell ref="A13:B13"/>
    <mergeCell ref="L1:M1"/>
    <mergeCell ref="C1:C2"/>
    <mergeCell ref="D1:D2"/>
    <mergeCell ref="A4:F4"/>
    <mergeCell ref="A5:F5"/>
    <mergeCell ref="A3:F3"/>
    <mergeCell ref="A1:B2"/>
    <mergeCell ref="A18:B18"/>
    <mergeCell ref="A19:B19"/>
    <mergeCell ref="A6:F6"/>
    <mergeCell ref="A20:B20"/>
    <mergeCell ref="A9:B9"/>
    <mergeCell ref="A10:B10"/>
    <mergeCell ref="A14:B14"/>
    <mergeCell ref="A15:B15"/>
    <mergeCell ref="A16:B16"/>
    <mergeCell ref="A17:B17"/>
  </mergeCells>
  <phoneticPr fontId="116" type="noConversion"/>
  <pageMargins left="0.61" right="0.52" top="1.08" bottom="0.65" header="0.57999999999999996" footer="0.39370078740157483"/>
  <pageSetup paperSize="9" orientation="landscape" horizontalDpi="300" verticalDpi="300" r:id="rId1"/>
  <headerFooter alignWithMargins="0">
    <oddHeader>&amp;C&amp;"돋움,보통"&amp;16일  위  대  가  목  록  표</oddHeader>
    <oddFooter>&amp;C(&amp;P)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1:N43"/>
  <sheetViews>
    <sheetView view="pageBreakPreview" zoomScaleNormal="98" workbookViewId="0">
      <pane ySplit="2" topLeftCell="A9" activePane="bottomLeft" state="frozen"/>
      <selection activeCell="A6" sqref="A6:F6"/>
      <selection pane="bottomLeft" activeCell="A6" sqref="A6:F6"/>
    </sheetView>
  </sheetViews>
  <sheetFormatPr defaultColWidth="8" defaultRowHeight="13.5"/>
  <cols>
    <col min="1" max="1" width="7.33203125" style="1441" customWidth="1"/>
    <col min="2" max="2" width="7.88671875" style="1441" customWidth="1"/>
    <col min="3" max="3" width="12.44140625" style="1441" customWidth="1"/>
    <col min="4" max="4" width="8.33203125" style="1441" customWidth="1"/>
    <col min="5" max="5" width="4.88671875" style="1441" customWidth="1"/>
    <col min="6" max="6" width="9.21875" style="1441" customWidth="1"/>
    <col min="7" max="7" width="9.88671875" style="1441" customWidth="1"/>
    <col min="8" max="13" width="9.44140625" style="1441" customWidth="1"/>
    <col min="14" max="14" width="6.88671875" style="1441" customWidth="1"/>
    <col min="15" max="15" width="8.5546875" style="1441" customWidth="1"/>
    <col min="16" max="17" width="7.6640625" style="1441" customWidth="1"/>
    <col min="18" max="20" width="5.88671875" style="1441" customWidth="1"/>
    <col min="21" max="16384" width="8" style="1441"/>
  </cols>
  <sheetData>
    <row r="1" spans="1:14" s="1430" customFormat="1" ht="20.100000000000001" customHeight="1">
      <c r="A1" s="1634" t="s">
        <v>478</v>
      </c>
      <c r="B1" s="1632"/>
      <c r="C1" s="1632" t="s">
        <v>479</v>
      </c>
      <c r="D1" s="1632" t="s">
        <v>480</v>
      </c>
      <c r="E1" s="1632" t="s">
        <v>481</v>
      </c>
      <c r="F1" s="1633" t="s">
        <v>482</v>
      </c>
      <c r="G1" s="1633"/>
      <c r="H1" s="1632" t="s">
        <v>483</v>
      </c>
      <c r="I1" s="1632"/>
      <c r="J1" s="1632" t="s">
        <v>484</v>
      </c>
      <c r="K1" s="1632"/>
      <c r="L1" s="1632" t="s">
        <v>485</v>
      </c>
      <c r="M1" s="1632"/>
      <c r="N1" s="1635" t="s">
        <v>486</v>
      </c>
    </row>
    <row r="2" spans="1:14" s="1430" customFormat="1" ht="20.100000000000001" customHeight="1">
      <c r="A2" s="1628"/>
      <c r="B2" s="1629"/>
      <c r="C2" s="1629"/>
      <c r="D2" s="1629"/>
      <c r="E2" s="1629"/>
      <c r="F2" s="1303" t="s">
        <v>487</v>
      </c>
      <c r="G2" s="1304" t="s">
        <v>488</v>
      </c>
      <c r="H2" s="1303" t="s">
        <v>487</v>
      </c>
      <c r="I2" s="1303" t="s">
        <v>488</v>
      </c>
      <c r="J2" s="1303" t="s">
        <v>487</v>
      </c>
      <c r="K2" s="1303" t="s">
        <v>488</v>
      </c>
      <c r="L2" s="1303" t="s">
        <v>487</v>
      </c>
      <c r="M2" s="1303" t="s">
        <v>488</v>
      </c>
      <c r="N2" s="1636"/>
    </row>
    <row r="3" spans="1:14" s="1430" customFormat="1" ht="20.100000000000001" customHeight="1">
      <c r="A3" s="1305" t="s">
        <v>489</v>
      </c>
      <c r="B3" s="1306"/>
      <c r="C3" s="1306"/>
      <c r="D3" s="1306"/>
      <c r="E3" s="1307"/>
      <c r="F3" s="1308"/>
      <c r="G3" s="594"/>
      <c r="H3" s="594"/>
      <c r="I3" s="594"/>
      <c r="J3" s="594"/>
      <c r="K3" s="594"/>
      <c r="L3" s="594"/>
      <c r="M3" s="594"/>
      <c r="N3" s="1215" t="s">
        <v>490</v>
      </c>
    </row>
    <row r="4" spans="1:14" s="1430" customFormat="1" ht="20.100000000000001" customHeight="1">
      <c r="A4" s="1626" t="s">
        <v>491</v>
      </c>
      <c r="B4" s="1627"/>
      <c r="C4" s="1303" t="s">
        <v>492</v>
      </c>
      <c r="D4" s="1309">
        <v>1.6E-2</v>
      </c>
      <c r="E4" s="1303" t="s">
        <v>493</v>
      </c>
      <c r="F4" s="1303">
        <f>H4+J4+L4</f>
        <v>38821</v>
      </c>
      <c r="G4" s="594">
        <f>SUM(I4,K4,M4)</f>
        <v>619</v>
      </c>
      <c r="H4" s="594">
        <f ca="1">'테라토7-장비'!F7</f>
        <v>14606</v>
      </c>
      <c r="I4" s="594">
        <f ca="1">INT(D4*H4)</f>
        <v>233</v>
      </c>
      <c r="J4" s="594">
        <f ca="1">'테라토7-장비'!F11</f>
        <v>20561</v>
      </c>
      <c r="K4" s="594">
        <f ca="1">INT(D4*J4)</f>
        <v>328</v>
      </c>
      <c r="L4" s="594">
        <f ca="1">'테라토7-장비'!F13</f>
        <v>3654</v>
      </c>
      <c r="M4" s="594">
        <f>INT(D4*L4)</f>
        <v>58</v>
      </c>
      <c r="N4" s="1310"/>
    </row>
    <row r="5" spans="1:14" s="1430" customFormat="1" ht="20.100000000000001" customHeight="1">
      <c r="A5" s="1626" t="s">
        <v>494</v>
      </c>
      <c r="B5" s="1627"/>
      <c r="C5" s="1303"/>
      <c r="D5" s="1309">
        <v>0.01</v>
      </c>
      <c r="E5" s="1303" t="s">
        <v>495</v>
      </c>
      <c r="F5" s="1303">
        <f>H5+J5+L5</f>
        <v>79533</v>
      </c>
      <c r="G5" s="594">
        <f>SUM(I5,K5,M5)</f>
        <v>795</v>
      </c>
      <c r="H5" s="594">
        <v>0</v>
      </c>
      <c r="I5" s="594">
        <f>INT(D5*H5)</f>
        <v>0</v>
      </c>
      <c r="J5" s="594">
        <f ca="1">'테라토7-단가적용'!J16</f>
        <v>79533</v>
      </c>
      <c r="K5" s="594">
        <f>INT(D5*J5)</f>
        <v>795</v>
      </c>
      <c r="L5" s="594">
        <v>0</v>
      </c>
      <c r="M5" s="594">
        <f>INT(D5*L5)</f>
        <v>0</v>
      </c>
      <c r="N5" s="1310"/>
    </row>
    <row r="6" spans="1:14" s="1430" customFormat="1" ht="20.100000000000001" customHeight="1">
      <c r="A6" s="1626" t="s">
        <v>496</v>
      </c>
      <c r="B6" s="1627"/>
      <c r="C6" s="1303"/>
      <c r="D6" s="1309">
        <v>0.01</v>
      </c>
      <c r="E6" s="1303" t="s">
        <v>495</v>
      </c>
      <c r="F6" s="1303">
        <f>H6+J6+L6</f>
        <v>68965</v>
      </c>
      <c r="G6" s="594">
        <f>SUM(I6,K6,M6)</f>
        <v>689</v>
      </c>
      <c r="H6" s="594">
        <v>0</v>
      </c>
      <c r="I6" s="594">
        <f>INT(D6*H6)</f>
        <v>0</v>
      </c>
      <c r="J6" s="594">
        <f ca="1">'테라토7-단가적용'!J12</f>
        <v>68965</v>
      </c>
      <c r="K6" s="594">
        <f>INT(D6*J6)</f>
        <v>689</v>
      </c>
      <c r="L6" s="594">
        <v>0</v>
      </c>
      <c r="M6" s="594">
        <f>INT(D6*L6)</f>
        <v>0</v>
      </c>
      <c r="N6" s="1310"/>
    </row>
    <row r="7" spans="1:14" s="1430" customFormat="1" ht="20.100000000000001" customHeight="1">
      <c r="A7" s="1628" t="s">
        <v>497</v>
      </c>
      <c r="B7" s="1629"/>
      <c r="C7" s="594"/>
      <c r="D7" s="594"/>
      <c r="E7" s="594"/>
      <c r="F7" s="594"/>
      <c r="G7" s="594">
        <f>SUM(G4:G6)</f>
        <v>2103</v>
      </c>
      <c r="H7" s="594"/>
      <c r="I7" s="594">
        <f>SUM(I4:I6)</f>
        <v>233</v>
      </c>
      <c r="J7" s="594"/>
      <c r="K7" s="594">
        <f>SUM(K4:K6)</f>
        <v>1812</v>
      </c>
      <c r="L7" s="594"/>
      <c r="M7" s="594">
        <f>SUM(M4:M6)</f>
        <v>58</v>
      </c>
      <c r="N7" s="1310"/>
    </row>
    <row r="8" spans="1:14" s="1430" customFormat="1" ht="20.100000000000001" customHeight="1">
      <c r="A8" s="1628"/>
      <c r="B8" s="1629"/>
      <c r="C8" s="594"/>
      <c r="D8" s="594"/>
      <c r="E8" s="594"/>
      <c r="F8" s="594"/>
      <c r="G8" s="594"/>
      <c r="H8" s="594"/>
      <c r="I8" s="594"/>
      <c r="J8" s="594"/>
      <c r="K8" s="594"/>
      <c r="L8" s="594"/>
      <c r="M8" s="594"/>
      <c r="N8" s="1310"/>
    </row>
    <row r="9" spans="1:14" s="1430" customFormat="1" ht="20.100000000000001" customHeight="1">
      <c r="A9" s="1305" t="s">
        <v>498</v>
      </c>
      <c r="B9" s="1306"/>
      <c r="C9" s="1306"/>
      <c r="D9" s="1306"/>
      <c r="E9" s="1307"/>
      <c r="F9" s="1308"/>
      <c r="G9" s="594"/>
      <c r="H9" s="594"/>
      <c r="I9" s="594"/>
      <c r="J9" s="594"/>
      <c r="K9" s="594"/>
      <c r="L9" s="594"/>
      <c r="M9" s="594"/>
      <c r="N9" s="1215" t="s">
        <v>490</v>
      </c>
    </row>
    <row r="10" spans="1:14" s="1430" customFormat="1" ht="20.100000000000001" customHeight="1">
      <c r="A10" s="1626" t="s">
        <v>499</v>
      </c>
      <c r="B10" s="1627"/>
      <c r="C10" s="594" t="s">
        <v>500</v>
      </c>
      <c r="D10" s="1311">
        <v>0.23</v>
      </c>
      <c r="E10" s="1303" t="s">
        <v>501</v>
      </c>
      <c r="F10" s="1303">
        <f>H10+J10+L10</f>
        <v>600</v>
      </c>
      <c r="G10" s="594">
        <f>SUM(I10,K10,M10)</f>
        <v>138</v>
      </c>
      <c r="H10" s="594">
        <f ca="1">'테라토7-단가적용'!J3</f>
        <v>600</v>
      </c>
      <c r="I10" s="594">
        <f ca="1">INT(D10*H10)</f>
        <v>138</v>
      </c>
      <c r="J10" s="594">
        <v>0</v>
      </c>
      <c r="K10" s="594">
        <f>INT(D10*J10)</f>
        <v>0</v>
      </c>
      <c r="L10" s="594">
        <v>0</v>
      </c>
      <c r="M10" s="594">
        <f>INT(D10*L10)</f>
        <v>0</v>
      </c>
      <c r="N10" s="1310"/>
    </row>
    <row r="11" spans="1:14" s="1430" customFormat="1" ht="20.100000000000001" customHeight="1">
      <c r="A11" s="1626" t="s">
        <v>502</v>
      </c>
      <c r="B11" s="1627"/>
      <c r="C11" s="594" t="s">
        <v>503</v>
      </c>
      <c r="D11" s="1311">
        <v>0.5</v>
      </c>
      <c r="E11" s="1303" t="s">
        <v>501</v>
      </c>
      <c r="F11" s="1303">
        <f>H11+J11+L11</f>
        <v>400</v>
      </c>
      <c r="G11" s="594">
        <f>SUM(I11,K11,M11)</f>
        <v>200</v>
      </c>
      <c r="H11" s="594">
        <f ca="1">'테라토7-단가적용'!J4</f>
        <v>400</v>
      </c>
      <c r="I11" s="594">
        <f ca="1">INT(D11*H11)</f>
        <v>200</v>
      </c>
      <c r="J11" s="594">
        <v>0</v>
      </c>
      <c r="K11" s="594">
        <f>INT(D11*J11)</f>
        <v>0</v>
      </c>
      <c r="L11" s="594">
        <v>0</v>
      </c>
      <c r="M11" s="594">
        <f>INT(D11*L11)</f>
        <v>0</v>
      </c>
      <c r="N11" s="1310"/>
    </row>
    <row r="12" spans="1:14" s="1430" customFormat="1" ht="20.100000000000001" customHeight="1">
      <c r="A12" s="1626" t="s">
        <v>504</v>
      </c>
      <c r="B12" s="1627"/>
      <c r="C12" s="594"/>
      <c r="D12" s="1311">
        <v>4.0000000000000001E-3</v>
      </c>
      <c r="E12" s="1303" t="s">
        <v>495</v>
      </c>
      <c r="F12" s="1303">
        <f>H12+J12+L12</f>
        <v>84404</v>
      </c>
      <c r="G12" s="594">
        <f>SUM(I12,K12,M12)</f>
        <v>337</v>
      </c>
      <c r="H12" s="594">
        <v>0</v>
      </c>
      <c r="I12" s="594">
        <f ca="1">INT(D12*H12)</f>
        <v>0</v>
      </c>
      <c r="J12" s="594">
        <f ca="1">'테라토7-단가적용'!J13</f>
        <v>84404</v>
      </c>
      <c r="K12" s="594">
        <f>INT(D12*J12)</f>
        <v>337</v>
      </c>
      <c r="L12" s="594">
        <v>0</v>
      </c>
      <c r="M12" s="594">
        <f>INT(D12*L12)</f>
        <v>0</v>
      </c>
      <c r="N12" s="1310"/>
    </row>
    <row r="13" spans="1:14" s="1430" customFormat="1" ht="20.100000000000001" customHeight="1">
      <c r="A13" s="1626" t="s">
        <v>496</v>
      </c>
      <c r="B13" s="1627"/>
      <c r="C13" s="594"/>
      <c r="D13" s="1311">
        <v>4.0000000000000001E-3</v>
      </c>
      <c r="E13" s="1303" t="s">
        <v>495</v>
      </c>
      <c r="F13" s="1303">
        <f>H13+J13+L13</f>
        <v>68965</v>
      </c>
      <c r="G13" s="594">
        <f>SUM(I13,K13,M13)</f>
        <v>275</v>
      </c>
      <c r="H13" s="594">
        <v>0</v>
      </c>
      <c r="I13" s="594">
        <f ca="1">INT(D13*H13)</f>
        <v>0</v>
      </c>
      <c r="J13" s="594">
        <f ca="1">'테라토7-단가적용'!J12</f>
        <v>68965</v>
      </c>
      <c r="K13" s="594">
        <f>INT(D13*J13)</f>
        <v>275</v>
      </c>
      <c r="L13" s="594">
        <v>0</v>
      </c>
      <c r="M13" s="594">
        <f>INT(D13*L13)</f>
        <v>0</v>
      </c>
      <c r="N13" s="1310"/>
    </row>
    <row r="14" spans="1:14" s="1430" customFormat="1" ht="20.100000000000001" customHeight="1">
      <c r="A14" s="1628" t="s">
        <v>497</v>
      </c>
      <c r="B14" s="1629"/>
      <c r="C14" s="594"/>
      <c r="D14" s="594"/>
      <c r="E14" s="594"/>
      <c r="F14" s="594"/>
      <c r="G14" s="594">
        <f>SUM(G10:G13)</f>
        <v>950</v>
      </c>
      <c r="H14" s="594"/>
      <c r="I14" s="594">
        <f>SUM(I10:I13)</f>
        <v>338</v>
      </c>
      <c r="J14" s="594"/>
      <c r="K14" s="594">
        <f>SUM(K10:K13)</f>
        <v>612</v>
      </c>
      <c r="L14" s="594"/>
      <c r="M14" s="594">
        <f>SUM(M10:M13)</f>
        <v>0</v>
      </c>
      <c r="N14" s="1310"/>
    </row>
    <row r="15" spans="1:14" s="1430" customFormat="1" ht="20.100000000000001" customHeight="1">
      <c r="A15" s="1628"/>
      <c r="B15" s="1629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1310"/>
    </row>
    <row r="16" spans="1:14" s="1430" customFormat="1" ht="20.100000000000001" customHeight="1">
      <c r="A16" s="1628"/>
      <c r="B16" s="1629"/>
      <c r="C16" s="594"/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1310"/>
    </row>
    <row r="17" spans="1:14" s="1430" customFormat="1" ht="20.100000000000001" customHeight="1">
      <c r="A17" s="1630" t="s">
        <v>505</v>
      </c>
      <c r="B17" s="1631"/>
      <c r="C17" s="1631"/>
      <c r="D17" s="1631"/>
      <c r="E17" s="1631"/>
      <c r="F17" s="1308"/>
      <c r="G17" s="1431"/>
      <c r="H17" s="1431"/>
      <c r="I17" s="1431"/>
      <c r="J17" s="1431"/>
      <c r="K17" s="1431"/>
      <c r="L17" s="1431"/>
      <c r="M17" s="1431"/>
      <c r="N17" s="1215" t="s">
        <v>490</v>
      </c>
    </row>
    <row r="18" spans="1:14" s="1430" customFormat="1" ht="20.100000000000001" customHeight="1">
      <c r="A18" s="1626" t="s">
        <v>506</v>
      </c>
      <c r="B18" s="1627"/>
      <c r="C18" s="1432" t="s">
        <v>507</v>
      </c>
      <c r="D18" s="1309">
        <v>1.3</v>
      </c>
      <c r="E18" s="1432" t="s">
        <v>508</v>
      </c>
      <c r="F18" s="1433">
        <f t="shared" ref="F18:G22" si="0">SUM(H18,J18,L18)</f>
        <v>3260</v>
      </c>
      <c r="G18" s="594">
        <f t="shared" si="0"/>
        <v>4238</v>
      </c>
      <c r="H18" s="594">
        <f ca="1">'테라토7-단가적용'!J7</f>
        <v>3260</v>
      </c>
      <c r="I18" s="594">
        <f ca="1">INT(D18*H18)</f>
        <v>4238</v>
      </c>
      <c r="J18" s="594">
        <v>0</v>
      </c>
      <c r="K18" s="594">
        <f>INT(D18*J18)</f>
        <v>0</v>
      </c>
      <c r="L18" s="594">
        <v>0</v>
      </c>
      <c r="M18" s="594">
        <f>INT(D18*L18)</f>
        <v>0</v>
      </c>
      <c r="N18" s="1434"/>
    </row>
    <row r="19" spans="1:14" s="1430" customFormat="1" ht="20.100000000000001" customHeight="1">
      <c r="A19" s="1626" t="s">
        <v>509</v>
      </c>
      <c r="B19" s="1627"/>
      <c r="C19" s="1432" t="s">
        <v>510</v>
      </c>
      <c r="D19" s="1309">
        <v>1.3</v>
      </c>
      <c r="E19" s="1432" t="s">
        <v>511</v>
      </c>
      <c r="F19" s="1433">
        <f t="shared" si="0"/>
        <v>240</v>
      </c>
      <c r="G19" s="594">
        <f t="shared" si="0"/>
        <v>312</v>
      </c>
      <c r="H19" s="594">
        <f ca="1">'테라토7-단가적용'!J6</f>
        <v>240</v>
      </c>
      <c r="I19" s="594">
        <f ca="1">INT(D19*H19)</f>
        <v>312</v>
      </c>
      <c r="J19" s="594">
        <v>0</v>
      </c>
      <c r="K19" s="594">
        <f>INT(D19*J19)</f>
        <v>0</v>
      </c>
      <c r="L19" s="594">
        <v>0</v>
      </c>
      <c r="M19" s="594">
        <f>INT(D19*L19)</f>
        <v>0</v>
      </c>
      <c r="N19" s="1434"/>
    </row>
    <row r="20" spans="1:14" s="1430" customFormat="1" ht="20.100000000000001" customHeight="1">
      <c r="A20" s="1626" t="s">
        <v>512</v>
      </c>
      <c r="B20" s="1627"/>
      <c r="C20" s="1431"/>
      <c r="D20" s="1309">
        <v>4.0000000000000001E-3</v>
      </c>
      <c r="E20" s="1432" t="s">
        <v>495</v>
      </c>
      <c r="F20" s="1433">
        <f t="shared" si="0"/>
        <v>92218</v>
      </c>
      <c r="G20" s="594">
        <f t="shared" si="0"/>
        <v>368</v>
      </c>
      <c r="H20" s="594">
        <v>0</v>
      </c>
      <c r="I20" s="594">
        <f ca="1">INT(D20*H20)</f>
        <v>0</v>
      </c>
      <c r="J20" s="594">
        <f ca="1">'테라토7-단가적용'!J14</f>
        <v>92218</v>
      </c>
      <c r="K20" s="594">
        <f>INT(D20*J20)</f>
        <v>368</v>
      </c>
      <c r="L20" s="594">
        <v>0</v>
      </c>
      <c r="M20" s="594">
        <f>INT(D20*L20)</f>
        <v>0</v>
      </c>
      <c r="N20" s="1434"/>
    </row>
    <row r="21" spans="1:14" s="1430" customFormat="1" ht="20.100000000000001" customHeight="1">
      <c r="A21" s="1626" t="s">
        <v>504</v>
      </c>
      <c r="B21" s="1627"/>
      <c r="C21" s="1431"/>
      <c r="D21" s="1309">
        <v>1.7999999999999999E-2</v>
      </c>
      <c r="E21" s="1432" t="s">
        <v>495</v>
      </c>
      <c r="F21" s="1433">
        <f t="shared" si="0"/>
        <v>84404</v>
      </c>
      <c r="G21" s="594">
        <f t="shared" si="0"/>
        <v>1519</v>
      </c>
      <c r="H21" s="594">
        <v>0</v>
      </c>
      <c r="I21" s="594">
        <f ca="1">INT(D21*H21)</f>
        <v>0</v>
      </c>
      <c r="J21" s="594">
        <f ca="1">'테라토7-단가적용'!J13</f>
        <v>84404</v>
      </c>
      <c r="K21" s="594">
        <f>INT(D21*J21)</f>
        <v>1519</v>
      </c>
      <c r="L21" s="594">
        <v>0</v>
      </c>
      <c r="M21" s="594">
        <f>INT(D21*L21)</f>
        <v>0</v>
      </c>
      <c r="N21" s="1434"/>
    </row>
    <row r="22" spans="1:14" s="1430" customFormat="1" ht="20.100000000000001" customHeight="1">
      <c r="A22" s="1626" t="s">
        <v>496</v>
      </c>
      <c r="B22" s="1627"/>
      <c r="C22" s="1431"/>
      <c r="D22" s="1309">
        <v>1.7999999999999999E-2</v>
      </c>
      <c r="E22" s="1432" t="s">
        <v>495</v>
      </c>
      <c r="F22" s="1433">
        <f t="shared" si="0"/>
        <v>68965</v>
      </c>
      <c r="G22" s="594">
        <f t="shared" si="0"/>
        <v>1241</v>
      </c>
      <c r="H22" s="594">
        <v>0</v>
      </c>
      <c r="I22" s="594">
        <f ca="1">INT(D22*H22)</f>
        <v>0</v>
      </c>
      <c r="J22" s="594">
        <f ca="1">'테라토7-단가적용'!J12</f>
        <v>68965</v>
      </c>
      <c r="K22" s="594">
        <f>INT(D22*J22)</f>
        <v>1241</v>
      </c>
      <c r="L22" s="594">
        <v>0</v>
      </c>
      <c r="M22" s="594">
        <f>INT(D22*L22)</f>
        <v>0</v>
      </c>
      <c r="N22" s="1434"/>
    </row>
    <row r="23" spans="1:14" s="1430" customFormat="1" ht="20.100000000000001" customHeight="1">
      <c r="A23" s="1628" t="s">
        <v>497</v>
      </c>
      <c r="B23" s="1629"/>
      <c r="C23" s="1431"/>
      <c r="D23" s="1431"/>
      <c r="E23" s="1431"/>
      <c r="F23" s="1431"/>
      <c r="G23" s="594">
        <f>SUM(G18:G22)</f>
        <v>7678</v>
      </c>
      <c r="H23" s="594"/>
      <c r="I23" s="594">
        <f ca="1">SUM(I18:I22)</f>
        <v>4550</v>
      </c>
      <c r="J23" s="594"/>
      <c r="K23" s="594">
        <f>SUM(K18:K22)</f>
        <v>3128</v>
      </c>
      <c r="L23" s="594"/>
      <c r="M23" s="594">
        <f>SUM(M18:M22)</f>
        <v>0</v>
      </c>
      <c r="N23" s="1434"/>
    </row>
    <row r="24" spans="1:14" s="1430" customFormat="1" ht="20.100000000000001" customHeight="1">
      <c r="A24" s="1630" t="s">
        <v>513</v>
      </c>
      <c r="B24" s="1631"/>
      <c r="C24" s="1631"/>
      <c r="D24" s="1631"/>
      <c r="E24" s="1631"/>
      <c r="F24" s="1308"/>
      <c r="G24" s="1431"/>
      <c r="H24" s="1431"/>
      <c r="I24" s="1431"/>
      <c r="J24" s="1431"/>
      <c r="K24" s="1431"/>
      <c r="L24" s="1431"/>
      <c r="M24" s="1431"/>
      <c r="N24" s="1215" t="s">
        <v>490</v>
      </c>
    </row>
    <row r="25" spans="1:14" s="1430" customFormat="1" ht="20.100000000000001" customHeight="1">
      <c r="A25" s="1626" t="s">
        <v>514</v>
      </c>
      <c r="B25" s="1627"/>
      <c r="C25" s="1432" t="s">
        <v>515</v>
      </c>
      <c r="D25" s="1435">
        <v>3.3000000000000002E-2</v>
      </c>
      <c r="E25" s="1432" t="s">
        <v>516</v>
      </c>
      <c r="F25" s="1433">
        <f t="shared" ref="F25:F37" si="1">SUM(H25,J25,L25)</f>
        <v>185000</v>
      </c>
      <c r="G25" s="594">
        <f t="shared" ref="G25:G37" si="2">SUM(I25,K25,M25)</f>
        <v>6105</v>
      </c>
      <c r="H25" s="594">
        <f ca="1">'테라토7-단가적용'!J9</f>
        <v>185000</v>
      </c>
      <c r="I25" s="594">
        <f t="shared" ref="I25:I37" si="3">INT(D25*H25)</f>
        <v>6105</v>
      </c>
      <c r="J25" s="594">
        <v>0</v>
      </c>
      <c r="K25" s="594">
        <f t="shared" ref="K25:K37" si="4">INT(D25*J25)</f>
        <v>0</v>
      </c>
      <c r="L25" s="594">
        <v>0</v>
      </c>
      <c r="M25" s="594">
        <f t="shared" ref="M25:M37" si="5">INT(D25*L25)</f>
        <v>0</v>
      </c>
      <c r="N25" s="1434"/>
    </row>
    <row r="26" spans="1:14" s="1430" customFormat="1" ht="20.100000000000001" customHeight="1">
      <c r="A26" s="1626" t="s">
        <v>517</v>
      </c>
      <c r="B26" s="1627"/>
      <c r="C26" s="1432" t="s">
        <v>518</v>
      </c>
      <c r="D26" s="1436">
        <v>0.08</v>
      </c>
      <c r="E26" s="1432" t="s">
        <v>519</v>
      </c>
      <c r="F26" s="1433">
        <f t="shared" si="1"/>
        <v>50000</v>
      </c>
      <c r="G26" s="594">
        <f t="shared" si="2"/>
        <v>4000</v>
      </c>
      <c r="H26" s="594">
        <f ca="1">'테라토7-단가적용'!J5</f>
        <v>50000</v>
      </c>
      <c r="I26" s="594">
        <f t="shared" si="3"/>
        <v>4000</v>
      </c>
      <c r="J26" s="594">
        <v>0</v>
      </c>
      <c r="K26" s="594">
        <f t="shared" si="4"/>
        <v>0</v>
      </c>
      <c r="L26" s="594">
        <v>0</v>
      </c>
      <c r="M26" s="594">
        <f t="shared" si="5"/>
        <v>0</v>
      </c>
      <c r="N26" s="1434"/>
    </row>
    <row r="27" spans="1:14" s="1430" customFormat="1" ht="20.100000000000001" customHeight="1">
      <c r="A27" s="1626" t="s">
        <v>520</v>
      </c>
      <c r="B27" s="1627"/>
      <c r="C27" s="1432" t="s">
        <v>521</v>
      </c>
      <c r="D27" s="1435">
        <v>0.06</v>
      </c>
      <c r="E27" s="1432" t="s">
        <v>522</v>
      </c>
      <c r="F27" s="1433">
        <f t="shared" si="1"/>
        <v>24583.103999999999</v>
      </c>
      <c r="G27" s="594">
        <f t="shared" si="2"/>
        <v>1474</v>
      </c>
      <c r="H27" s="594">
        <v>0</v>
      </c>
      <c r="I27" s="594">
        <f t="shared" si="3"/>
        <v>0</v>
      </c>
      <c r="J27" s="594">
        <v>0</v>
      </c>
      <c r="K27" s="594">
        <f t="shared" si="4"/>
        <v>0</v>
      </c>
      <c r="L27" s="594">
        <f ca="1">'테라토7-장비'!F33</f>
        <v>24583.103999999999</v>
      </c>
      <c r="M27" s="594">
        <f t="shared" si="5"/>
        <v>1474</v>
      </c>
      <c r="N27" s="1434"/>
    </row>
    <row r="28" spans="1:14" s="1430" customFormat="1" ht="20.100000000000001" customHeight="1">
      <c r="A28" s="1626" t="s">
        <v>523</v>
      </c>
      <c r="B28" s="1627"/>
      <c r="C28" s="1432" t="s">
        <v>524</v>
      </c>
      <c r="D28" s="1435">
        <v>0.06</v>
      </c>
      <c r="E28" s="1432" t="s">
        <v>522</v>
      </c>
      <c r="F28" s="1433">
        <f t="shared" si="1"/>
        <v>62115.6</v>
      </c>
      <c r="G28" s="594">
        <f t="shared" si="2"/>
        <v>3725</v>
      </c>
      <c r="H28" s="594">
        <f ca="1">'테라토7-장비'!F47</f>
        <v>35879</v>
      </c>
      <c r="I28" s="594">
        <f t="shared" si="3"/>
        <v>2152</v>
      </c>
      <c r="J28" s="594">
        <f ca="1">'테라토7-장비'!F51</f>
        <v>20561</v>
      </c>
      <c r="K28" s="594">
        <f t="shared" si="4"/>
        <v>1233</v>
      </c>
      <c r="L28" s="594">
        <f ca="1">'테라토7-장비'!F53</f>
        <v>5675.5999999999995</v>
      </c>
      <c r="M28" s="594">
        <f t="shared" si="5"/>
        <v>340</v>
      </c>
      <c r="N28" s="1434"/>
    </row>
    <row r="29" spans="1:14" s="1430" customFormat="1" ht="20.100000000000001" customHeight="1">
      <c r="A29" s="1626" t="s">
        <v>491</v>
      </c>
      <c r="B29" s="1627"/>
      <c r="C29" s="1432" t="s">
        <v>492</v>
      </c>
      <c r="D29" s="1435">
        <v>0.06</v>
      </c>
      <c r="E29" s="1432" t="s">
        <v>522</v>
      </c>
      <c r="F29" s="1433">
        <f t="shared" si="1"/>
        <v>38821</v>
      </c>
      <c r="G29" s="594">
        <f t="shared" si="2"/>
        <v>2328</v>
      </c>
      <c r="H29" s="594">
        <f ca="1">'테라토7-장비'!F7</f>
        <v>14606</v>
      </c>
      <c r="I29" s="594">
        <f t="shared" si="3"/>
        <v>876</v>
      </c>
      <c r="J29" s="594">
        <f ca="1">'테라토7-장비'!F11</f>
        <v>20561</v>
      </c>
      <c r="K29" s="594">
        <f t="shared" si="4"/>
        <v>1233</v>
      </c>
      <c r="L29" s="594">
        <f ca="1">'테라토7-장비'!F13</f>
        <v>3654</v>
      </c>
      <c r="M29" s="594">
        <f t="shared" si="5"/>
        <v>219</v>
      </c>
      <c r="N29" s="1434"/>
    </row>
    <row r="30" spans="1:14" s="1430" customFormat="1" ht="20.100000000000001" customHeight="1">
      <c r="A30" s="1626" t="s">
        <v>525</v>
      </c>
      <c r="B30" s="1627"/>
      <c r="C30" s="1432" t="s">
        <v>526</v>
      </c>
      <c r="D30" s="1435">
        <v>0.06</v>
      </c>
      <c r="E30" s="1432" t="s">
        <v>522</v>
      </c>
      <c r="F30" s="1433">
        <f t="shared" si="1"/>
        <v>55058</v>
      </c>
      <c r="G30" s="594">
        <f t="shared" si="2"/>
        <v>3302</v>
      </c>
      <c r="H30" s="594">
        <f ca="1">'테라토7-장비'!F107</f>
        <v>7132</v>
      </c>
      <c r="I30" s="594">
        <f t="shared" si="3"/>
        <v>427</v>
      </c>
      <c r="J30" s="594">
        <f ca="1">'테라토7-장비'!F111</f>
        <v>24490</v>
      </c>
      <c r="K30" s="594">
        <f t="shared" si="4"/>
        <v>1469</v>
      </c>
      <c r="L30" s="594">
        <f ca="1">'테라토7-장비'!F113</f>
        <v>23436</v>
      </c>
      <c r="M30" s="594">
        <f t="shared" si="5"/>
        <v>1406</v>
      </c>
      <c r="N30" s="1434"/>
    </row>
    <row r="31" spans="1:14" s="1430" customFormat="1" ht="20.100000000000001" customHeight="1">
      <c r="A31" s="1626" t="s">
        <v>527</v>
      </c>
      <c r="B31" s="1627"/>
      <c r="C31" s="1432"/>
      <c r="D31" s="1437">
        <v>1.9E-2</v>
      </c>
      <c r="E31" s="1432" t="s">
        <v>522</v>
      </c>
      <c r="F31" s="1433">
        <f t="shared" si="1"/>
        <v>13582.15</v>
      </c>
      <c r="G31" s="594">
        <f t="shared" si="2"/>
        <v>256</v>
      </c>
      <c r="H31" s="594">
        <f ca="1">'테라토7-장비'!F167</f>
        <v>102.85000000000001</v>
      </c>
      <c r="I31" s="594">
        <f t="shared" si="3"/>
        <v>1</v>
      </c>
      <c r="J31" s="594">
        <f ca="1">'테라토7-장비'!F171</f>
        <v>10260</v>
      </c>
      <c r="K31" s="594">
        <f t="shared" si="4"/>
        <v>194</v>
      </c>
      <c r="L31" s="594">
        <f ca="1">'테라토7-장비'!F173</f>
        <v>3219.2999999999997</v>
      </c>
      <c r="M31" s="594">
        <f t="shared" si="5"/>
        <v>61</v>
      </c>
      <c r="N31" s="1434"/>
    </row>
    <row r="32" spans="1:14" s="1430" customFormat="1" ht="20.100000000000001" customHeight="1">
      <c r="A32" s="1626" t="s">
        <v>528</v>
      </c>
      <c r="B32" s="1627"/>
      <c r="C32" s="1432" t="s">
        <v>529</v>
      </c>
      <c r="D32" s="1438">
        <v>1.5E-3</v>
      </c>
      <c r="E32" s="1432" t="s">
        <v>530</v>
      </c>
      <c r="F32" s="1433">
        <f t="shared" si="1"/>
        <v>18000</v>
      </c>
      <c r="G32" s="594">
        <f t="shared" si="2"/>
        <v>27</v>
      </c>
      <c r="H32" s="594">
        <f ca="1">'테라토7-단가적용'!J8</f>
        <v>18000</v>
      </c>
      <c r="I32" s="594">
        <f t="shared" si="3"/>
        <v>27</v>
      </c>
      <c r="J32" s="594"/>
      <c r="K32" s="594">
        <f t="shared" si="4"/>
        <v>0</v>
      </c>
      <c r="L32" s="594"/>
      <c r="M32" s="594">
        <f t="shared" si="5"/>
        <v>0</v>
      </c>
      <c r="N32" s="1439"/>
    </row>
    <row r="33" spans="1:14" s="1430" customFormat="1" ht="20.100000000000001" customHeight="1">
      <c r="A33" s="1626" t="s">
        <v>531</v>
      </c>
      <c r="B33" s="1627"/>
      <c r="C33" s="1432" t="s">
        <v>532</v>
      </c>
      <c r="D33" s="1437">
        <v>0.06</v>
      </c>
      <c r="E33" s="1432" t="s">
        <v>522</v>
      </c>
      <c r="F33" s="1433">
        <f t="shared" si="1"/>
        <v>41691.918900000004</v>
      </c>
      <c r="G33" s="594">
        <f t="shared" si="2"/>
        <v>2501</v>
      </c>
      <c r="H33" s="594">
        <f ca="1">'테라토7-장비'!F147</f>
        <v>15017</v>
      </c>
      <c r="I33" s="594">
        <f t="shared" si="3"/>
        <v>901</v>
      </c>
      <c r="J33" s="594">
        <f ca="1">'테라토7-장비'!F151</f>
        <v>20557</v>
      </c>
      <c r="K33" s="594">
        <f t="shared" si="4"/>
        <v>1233</v>
      </c>
      <c r="L33" s="594">
        <f ca="1">'테라토7-장비'!F153</f>
        <v>6117.9189000000006</v>
      </c>
      <c r="M33" s="594">
        <f t="shared" si="5"/>
        <v>367</v>
      </c>
      <c r="N33" s="1434"/>
    </row>
    <row r="34" spans="1:14" s="1430" customFormat="1" ht="20.100000000000001" customHeight="1">
      <c r="A34" s="1626" t="s">
        <v>512</v>
      </c>
      <c r="B34" s="1627"/>
      <c r="C34" s="1432"/>
      <c r="D34" s="1437">
        <v>6.0000000000000001E-3</v>
      </c>
      <c r="E34" s="1432" t="s">
        <v>495</v>
      </c>
      <c r="F34" s="1433">
        <f t="shared" si="1"/>
        <v>92218</v>
      </c>
      <c r="G34" s="594">
        <f t="shared" si="2"/>
        <v>553</v>
      </c>
      <c r="H34" s="594">
        <v>0</v>
      </c>
      <c r="I34" s="594">
        <f t="shared" si="3"/>
        <v>0</v>
      </c>
      <c r="J34" s="594">
        <f ca="1">'테라토7-단가적용'!J14</f>
        <v>92218</v>
      </c>
      <c r="K34" s="594">
        <f t="shared" si="4"/>
        <v>553</v>
      </c>
      <c r="L34" s="594">
        <v>0</v>
      </c>
      <c r="M34" s="594">
        <f t="shared" si="5"/>
        <v>0</v>
      </c>
      <c r="N34" s="1434"/>
    </row>
    <row r="35" spans="1:14" s="1430" customFormat="1" ht="20.100000000000001" customHeight="1">
      <c r="A35" s="1626" t="s">
        <v>504</v>
      </c>
      <c r="B35" s="1627"/>
      <c r="C35" s="1432"/>
      <c r="D35" s="1437">
        <v>2.7E-2</v>
      </c>
      <c r="E35" s="1432" t="s">
        <v>495</v>
      </c>
      <c r="F35" s="1433">
        <f t="shared" si="1"/>
        <v>84404</v>
      </c>
      <c r="G35" s="594">
        <f t="shared" si="2"/>
        <v>2278</v>
      </c>
      <c r="H35" s="594">
        <v>0</v>
      </c>
      <c r="I35" s="594">
        <f t="shared" si="3"/>
        <v>0</v>
      </c>
      <c r="J35" s="594">
        <f ca="1">'테라토7-단가적용'!J13</f>
        <v>84404</v>
      </c>
      <c r="K35" s="594">
        <f t="shared" si="4"/>
        <v>2278</v>
      </c>
      <c r="L35" s="594">
        <v>0</v>
      </c>
      <c r="M35" s="594">
        <f t="shared" si="5"/>
        <v>0</v>
      </c>
      <c r="N35" s="1434"/>
    </row>
    <row r="36" spans="1:14" s="1430" customFormat="1" ht="20.100000000000001" customHeight="1">
      <c r="A36" s="1626" t="s">
        <v>533</v>
      </c>
      <c r="B36" s="1627"/>
      <c r="C36" s="1432"/>
      <c r="D36" s="1437">
        <v>6.0000000000000001E-3</v>
      </c>
      <c r="E36" s="1432" t="s">
        <v>495</v>
      </c>
      <c r="F36" s="1433">
        <f t="shared" si="1"/>
        <v>86521</v>
      </c>
      <c r="G36" s="594">
        <f t="shared" si="2"/>
        <v>519</v>
      </c>
      <c r="H36" s="594">
        <v>0</v>
      </c>
      <c r="I36" s="594">
        <f t="shared" si="3"/>
        <v>0</v>
      </c>
      <c r="J36" s="594">
        <f ca="1">'테라토7-단가적용'!J15</f>
        <v>86521</v>
      </c>
      <c r="K36" s="594">
        <f t="shared" si="4"/>
        <v>519</v>
      </c>
      <c r="L36" s="594">
        <v>0</v>
      </c>
      <c r="M36" s="594">
        <f t="shared" si="5"/>
        <v>0</v>
      </c>
      <c r="N36" s="1434"/>
    </row>
    <row r="37" spans="1:14" s="1430" customFormat="1" ht="20.100000000000001" customHeight="1">
      <c r="A37" s="1626" t="s">
        <v>496</v>
      </c>
      <c r="B37" s="1627"/>
      <c r="C37" s="1432"/>
      <c r="D37" s="1437">
        <v>5.1999999999999998E-2</v>
      </c>
      <c r="E37" s="1432" t="s">
        <v>495</v>
      </c>
      <c r="F37" s="1433">
        <f t="shared" si="1"/>
        <v>68965</v>
      </c>
      <c r="G37" s="594">
        <f t="shared" si="2"/>
        <v>3586</v>
      </c>
      <c r="H37" s="594">
        <v>0</v>
      </c>
      <c r="I37" s="594">
        <f t="shared" si="3"/>
        <v>0</v>
      </c>
      <c r="J37" s="594">
        <f ca="1">'테라토7-단가적용'!J12</f>
        <v>68965</v>
      </c>
      <c r="K37" s="594">
        <f t="shared" si="4"/>
        <v>3586</v>
      </c>
      <c r="L37" s="594">
        <v>0</v>
      </c>
      <c r="M37" s="594">
        <f t="shared" si="5"/>
        <v>0</v>
      </c>
      <c r="N37" s="1434"/>
    </row>
    <row r="38" spans="1:14" s="1430" customFormat="1" ht="20.100000000000001" customHeight="1">
      <c r="A38" s="1628" t="s">
        <v>497</v>
      </c>
      <c r="B38" s="1629"/>
      <c r="C38" s="1432"/>
      <c r="D38" s="1431"/>
      <c r="E38" s="1431"/>
      <c r="F38" s="1431"/>
      <c r="G38" s="1440">
        <f>SUM(G25:G37)</f>
        <v>30654</v>
      </c>
      <c r="H38" s="594"/>
      <c r="I38" s="1440">
        <f>SUM(I25:I37)</f>
        <v>14489</v>
      </c>
      <c r="J38" s="594"/>
      <c r="K38" s="1440">
        <f>SUM(K25:K37)</f>
        <v>12298</v>
      </c>
      <c r="L38" s="594"/>
      <c r="M38" s="1440">
        <f>SUM(M25:M37)</f>
        <v>3867</v>
      </c>
      <c r="N38" s="1434"/>
    </row>
    <row r="39" spans="1:14" s="1430" customFormat="1" ht="20.100000000000001" customHeight="1">
      <c r="A39" s="1637"/>
      <c r="B39" s="1638"/>
      <c r="C39" s="1432"/>
      <c r="D39" s="1432"/>
      <c r="E39" s="1432"/>
      <c r="F39" s="1432"/>
      <c r="G39" s="1433"/>
      <c r="H39" s="1432"/>
      <c r="I39" s="1433"/>
      <c r="J39" s="1432"/>
      <c r="K39" s="1433"/>
      <c r="L39" s="1432"/>
      <c r="M39" s="1433"/>
      <c r="N39" s="1439"/>
    </row>
    <row r="40" spans="1:14" s="1430" customFormat="1" ht="20.100000000000001" customHeight="1">
      <c r="A40" s="1626" t="s">
        <v>534</v>
      </c>
      <c r="B40" s="1627"/>
      <c r="C40" s="1432" t="s">
        <v>535</v>
      </c>
      <c r="D40" s="1437"/>
      <c r="E40" s="1432"/>
      <c r="F40" s="1433"/>
      <c r="G40" s="594">
        <f>SUM(I40,K40,M40)</f>
        <v>434</v>
      </c>
      <c r="H40" s="594"/>
      <c r="I40" s="594">
        <f>INT(I38*3%)</f>
        <v>434</v>
      </c>
      <c r="J40" s="594"/>
      <c r="K40" s="594"/>
      <c r="L40" s="594"/>
      <c r="M40" s="594"/>
      <c r="N40" s="1434"/>
    </row>
    <row r="41" spans="1:14" s="1430" customFormat="1" ht="20.100000000000001" customHeight="1">
      <c r="A41" s="1626" t="s">
        <v>536</v>
      </c>
      <c r="B41" s="1627"/>
      <c r="C41" s="1432" t="s">
        <v>537</v>
      </c>
      <c r="D41" s="1437"/>
      <c r="E41" s="1432"/>
      <c r="F41" s="1433"/>
      <c r="G41" s="594">
        <f>SUM(I41,K41,M41)</f>
        <v>245</v>
      </c>
      <c r="H41" s="594"/>
      <c r="I41" s="594"/>
      <c r="J41" s="594"/>
      <c r="K41" s="594">
        <f>INT(K38*2%)</f>
        <v>245</v>
      </c>
      <c r="L41" s="594"/>
      <c r="M41" s="594"/>
      <c r="N41" s="1434"/>
    </row>
    <row r="42" spans="1:14" s="1430" customFormat="1" ht="20.100000000000001" customHeight="1">
      <c r="A42" s="1626"/>
      <c r="B42" s="1627"/>
      <c r="C42" s="1432"/>
      <c r="D42" s="1437"/>
      <c r="E42" s="1432"/>
      <c r="F42" s="1433"/>
      <c r="G42" s="594"/>
      <c r="H42" s="594"/>
      <c r="I42" s="594"/>
      <c r="J42" s="594"/>
      <c r="K42" s="594"/>
      <c r="L42" s="594"/>
      <c r="M42" s="594"/>
      <c r="N42" s="1434"/>
    </row>
    <row r="43" spans="1:14" s="1430" customFormat="1" ht="20.100000000000001" customHeight="1">
      <c r="A43" s="1628" t="s">
        <v>538</v>
      </c>
      <c r="B43" s="1629"/>
      <c r="C43" s="1432"/>
      <c r="D43" s="1437"/>
      <c r="E43" s="1432"/>
      <c r="F43" s="1433"/>
      <c r="G43" s="594">
        <f>SUM(I43,K43,M43)</f>
        <v>42064</v>
      </c>
      <c r="H43" s="594"/>
      <c r="I43" s="594">
        <f>I41+I40+I38+I23+I14+I7</f>
        <v>20044</v>
      </c>
      <c r="J43" s="594"/>
      <c r="K43" s="594">
        <f>K41+K40+K38+K23+K14+K7</f>
        <v>18095</v>
      </c>
      <c r="L43" s="594"/>
      <c r="M43" s="594">
        <f>M41+M40+M38+M23+M14+M7</f>
        <v>3925</v>
      </c>
      <c r="N43" s="1434"/>
    </row>
  </sheetData>
  <mergeCells count="48">
    <mergeCell ref="A30:B30"/>
    <mergeCell ref="A33:B33"/>
    <mergeCell ref="A34:B34"/>
    <mergeCell ref="A41:B41"/>
    <mergeCell ref="A35:B35"/>
    <mergeCell ref="A39:B39"/>
    <mergeCell ref="A38:B38"/>
    <mergeCell ref="A40:B40"/>
    <mergeCell ref="A36:B36"/>
    <mergeCell ref="A24:E24"/>
    <mergeCell ref="A18:B18"/>
    <mergeCell ref="A22:B22"/>
    <mergeCell ref="A26:B26"/>
    <mergeCell ref="A42:B42"/>
    <mergeCell ref="A43:B43"/>
    <mergeCell ref="A37:B37"/>
    <mergeCell ref="A27:B27"/>
    <mergeCell ref="A28:B28"/>
    <mergeCell ref="A29:B29"/>
    <mergeCell ref="L1:M1"/>
    <mergeCell ref="A32:B32"/>
    <mergeCell ref="A31:B31"/>
    <mergeCell ref="A25:B25"/>
    <mergeCell ref="N1:N2"/>
    <mergeCell ref="E1:E2"/>
    <mergeCell ref="H1:I1"/>
    <mergeCell ref="J1:K1"/>
    <mergeCell ref="A11:B11"/>
    <mergeCell ref="A8:B8"/>
    <mergeCell ref="A10:B10"/>
    <mergeCell ref="F1:G1"/>
    <mergeCell ref="A1:B2"/>
    <mergeCell ref="C1:C2"/>
    <mergeCell ref="D1:D2"/>
    <mergeCell ref="A6:B6"/>
    <mergeCell ref="A4:B4"/>
    <mergeCell ref="A5:B5"/>
    <mergeCell ref="A7:B7"/>
    <mergeCell ref="A12:B12"/>
    <mergeCell ref="A23:B23"/>
    <mergeCell ref="A13:B13"/>
    <mergeCell ref="A19:B19"/>
    <mergeCell ref="A20:B20"/>
    <mergeCell ref="A21:B21"/>
    <mergeCell ref="A17:E17"/>
    <mergeCell ref="A14:B14"/>
    <mergeCell ref="A16:B16"/>
    <mergeCell ref="A15:B15"/>
  </mergeCells>
  <phoneticPr fontId="116" type="noConversion"/>
  <pageMargins left="0.51181102362204722" right="0.4" top="1.05" bottom="0.6692913385826772" header="0.59055118110236227" footer="0.39370078740157483"/>
  <pageSetup paperSize="9" scale="96" orientation="landscape" horizontalDpi="300" verticalDpi="300" r:id="rId1"/>
  <headerFooter alignWithMargins="0">
    <oddHeader>&amp;C&amp;"굴림,보통"&amp;16일  위  대   가  표 (테라토T=7)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80"/>
  <sheetViews>
    <sheetView topLeftCell="A137" zoomScale="75" workbookViewId="0">
      <selection activeCell="A6" sqref="A6:F6"/>
    </sheetView>
  </sheetViews>
  <sheetFormatPr defaultColWidth="8" defaultRowHeight="13.5"/>
  <cols>
    <col min="1" max="1" width="21.109375" style="1417" customWidth="1"/>
    <col min="2" max="2" width="20.88671875" style="1417" customWidth="1"/>
    <col min="3" max="3" width="12.21875" style="1417" customWidth="1"/>
    <col min="4" max="4" width="6.109375" style="1417" customWidth="1"/>
    <col min="5" max="5" width="15" style="1417" customWidth="1"/>
    <col min="6" max="6" width="19.33203125" style="1417" customWidth="1"/>
    <col min="7" max="7" width="21.21875" style="1417" customWidth="1"/>
    <col min="8" max="16384" width="8" style="1417"/>
  </cols>
  <sheetData>
    <row r="1" spans="1:7" ht="21.95" customHeight="1">
      <c r="A1" s="1324" t="s">
        <v>539</v>
      </c>
      <c r="B1" s="1325"/>
      <c r="C1" s="1325"/>
      <c r="D1" s="1325"/>
      <c r="E1" s="1325"/>
      <c r="F1" s="1325"/>
      <c r="G1" s="1326"/>
    </row>
    <row r="2" spans="1:7" ht="21.95" customHeight="1">
      <c r="A2" s="1327"/>
      <c r="B2" s="1328"/>
      <c r="C2" s="1328"/>
      <c r="D2" s="1328"/>
      <c r="E2" s="1328"/>
      <c r="F2" s="1328"/>
      <c r="G2" s="1329"/>
    </row>
    <row r="3" spans="1:7" ht="21.95" customHeight="1">
      <c r="A3" s="1330" t="s">
        <v>540</v>
      </c>
      <c r="B3" s="1331"/>
      <c r="C3" s="1331"/>
      <c r="D3" s="1331"/>
      <c r="E3" s="1331"/>
      <c r="F3" s="1331"/>
      <c r="G3" s="1332"/>
    </row>
    <row r="4" spans="1:7" ht="21.95" customHeight="1">
      <c r="A4" s="1333" t="s">
        <v>137</v>
      </c>
      <c r="B4" s="1334" t="s">
        <v>541</v>
      </c>
      <c r="C4" s="1334" t="s">
        <v>2148</v>
      </c>
      <c r="D4" s="1334" t="s">
        <v>140</v>
      </c>
      <c r="E4" s="1334" t="s">
        <v>542</v>
      </c>
      <c r="F4" s="1334" t="s">
        <v>543</v>
      </c>
      <c r="G4" s="1335" t="s">
        <v>544</v>
      </c>
    </row>
    <row r="5" spans="1:7" ht="21.95" customHeight="1">
      <c r="A5" s="1336" t="s">
        <v>2149</v>
      </c>
      <c r="B5" s="1337" t="s">
        <v>545</v>
      </c>
      <c r="C5" s="1338">
        <v>8.6999999999999993</v>
      </c>
      <c r="D5" s="1337" t="s">
        <v>546</v>
      </c>
      <c r="E5" s="1339">
        <f ca="1">'테라토7-단가적용'!J10</f>
        <v>1322</v>
      </c>
      <c r="F5" s="1339">
        <f>ROUNDDOWN(C5*E5,0)</f>
        <v>11501</v>
      </c>
      <c r="G5" s="1340"/>
    </row>
    <row r="6" spans="1:7" ht="21.95" customHeight="1">
      <c r="A6" s="1341"/>
      <c r="B6" s="1342" t="s">
        <v>547</v>
      </c>
      <c r="C6" s="1343">
        <v>24</v>
      </c>
      <c r="D6" s="1342" t="s">
        <v>861</v>
      </c>
      <c r="E6" s="1344"/>
      <c r="F6" s="1344">
        <f>ROUNDDOWN(F5*27%,0)</f>
        <v>3105</v>
      </c>
      <c r="G6" s="1345"/>
    </row>
    <row r="7" spans="1:7" ht="21.95" customHeight="1">
      <c r="A7" s="1346"/>
      <c r="B7" s="1347" t="s">
        <v>1947</v>
      </c>
      <c r="C7" s="1348"/>
      <c r="D7" s="1347"/>
      <c r="E7" s="1348"/>
      <c r="F7" s="1349">
        <f>SUM(F5:F6)</f>
        <v>14606</v>
      </c>
      <c r="G7" s="1350"/>
    </row>
    <row r="8" spans="1:7" ht="21.95" customHeight="1">
      <c r="A8" s="1351" t="s">
        <v>2150</v>
      </c>
      <c r="B8" s="1352" t="s">
        <v>548</v>
      </c>
      <c r="C8" s="1353">
        <v>1</v>
      </c>
      <c r="D8" s="1352" t="s">
        <v>1221</v>
      </c>
      <c r="E8" s="1354">
        <f ca="1">'테라토7-장비기준'!S11</f>
        <v>20561</v>
      </c>
      <c r="F8" s="1354">
        <f>ROUNDDOWN(C8*E8,0)</f>
        <v>20561</v>
      </c>
      <c r="G8" s="1355"/>
    </row>
    <row r="9" spans="1:7" ht="21.95" customHeight="1">
      <c r="A9" s="1341"/>
      <c r="B9" s="1342" t="s">
        <v>549</v>
      </c>
      <c r="C9" s="1356">
        <v>0</v>
      </c>
      <c r="D9" s="1342" t="s">
        <v>1221</v>
      </c>
      <c r="E9" s="1357">
        <f ca="1">'테라토7-장비기준'!S12</f>
        <v>11517</v>
      </c>
      <c r="F9" s="1357">
        <f>ROUNDDOWN(C9*E9,0)</f>
        <v>0</v>
      </c>
      <c r="G9" s="1345"/>
    </row>
    <row r="10" spans="1:7" ht="21.95" customHeight="1">
      <c r="A10" s="1341"/>
      <c r="B10" s="1342" t="s">
        <v>550</v>
      </c>
      <c r="C10" s="1356">
        <v>0</v>
      </c>
      <c r="D10" s="1342" t="s">
        <v>1221</v>
      </c>
      <c r="E10" s="1357">
        <f ca="1">'테라토7-장비기준'!S13</f>
        <v>19656</v>
      </c>
      <c r="F10" s="1357">
        <f>ROUNDDOWN(C10*E10,0)</f>
        <v>0</v>
      </c>
      <c r="G10" s="1345"/>
    </row>
    <row r="11" spans="1:7" ht="21.95" customHeight="1">
      <c r="A11" s="1346"/>
      <c r="B11" s="1347" t="s">
        <v>1947</v>
      </c>
      <c r="C11" s="1348"/>
      <c r="D11" s="1347"/>
      <c r="E11" s="1348"/>
      <c r="F11" s="1349">
        <f>SUM(F8:F10)</f>
        <v>20561</v>
      </c>
      <c r="G11" s="1350"/>
    </row>
    <row r="12" spans="1:7" ht="21.95" customHeight="1">
      <c r="A12" s="1351" t="s">
        <v>2207</v>
      </c>
      <c r="B12" s="1352" t="s">
        <v>2191</v>
      </c>
      <c r="C12" s="1353">
        <v>0.22339999999999999</v>
      </c>
      <c r="D12" s="1352"/>
      <c r="E12" s="1358">
        <v>16360</v>
      </c>
      <c r="F12" s="1358">
        <f>ROUNDDOWN(C12*E12,0)</f>
        <v>3654</v>
      </c>
      <c r="G12" s="1355"/>
    </row>
    <row r="13" spans="1:7" ht="21.95" customHeight="1">
      <c r="A13" s="1346"/>
      <c r="B13" s="1347" t="s">
        <v>1947</v>
      </c>
      <c r="C13" s="1348"/>
      <c r="D13" s="1347"/>
      <c r="E13" s="1348"/>
      <c r="F13" s="1349">
        <f>SUM(F12)</f>
        <v>3654</v>
      </c>
      <c r="G13" s="1350"/>
    </row>
    <row r="14" spans="1:7" ht="21.95" customHeight="1">
      <c r="A14" s="1359"/>
      <c r="B14" s="1360"/>
      <c r="C14" s="1361"/>
      <c r="D14" s="1360"/>
      <c r="E14" s="1361"/>
      <c r="F14" s="1361"/>
      <c r="G14" s="1362"/>
    </row>
    <row r="15" spans="1:7" ht="21.95" customHeight="1">
      <c r="A15" s="1359"/>
      <c r="B15" s="1360"/>
      <c r="C15" s="1361"/>
      <c r="D15" s="1360"/>
      <c r="E15" s="1361"/>
      <c r="F15" s="1361"/>
      <c r="G15" s="1362"/>
    </row>
    <row r="16" spans="1:7" ht="21.95" customHeight="1">
      <c r="A16" s="1359"/>
      <c r="B16" s="1360"/>
      <c r="C16" s="1361"/>
      <c r="D16" s="1360"/>
      <c r="E16" s="1361"/>
      <c r="F16" s="1361"/>
      <c r="G16" s="1362"/>
    </row>
    <row r="17" spans="1:7" ht="21.95" customHeight="1">
      <c r="A17" s="1359"/>
      <c r="B17" s="1360"/>
      <c r="C17" s="1361"/>
      <c r="D17" s="1360"/>
      <c r="E17" s="1361"/>
      <c r="F17" s="1361"/>
      <c r="G17" s="1362"/>
    </row>
    <row r="18" spans="1:7" ht="21.95" customHeight="1">
      <c r="A18" s="1359"/>
      <c r="B18" s="1360"/>
      <c r="C18" s="1361"/>
      <c r="D18" s="1360"/>
      <c r="E18" s="1361"/>
      <c r="F18" s="1361"/>
      <c r="G18" s="1362"/>
    </row>
    <row r="19" spans="1:7" ht="21.95" customHeight="1">
      <c r="A19" s="1359"/>
      <c r="B19" s="1360"/>
      <c r="C19" s="1361"/>
      <c r="D19" s="1360"/>
      <c r="E19" s="1361"/>
      <c r="F19" s="1361"/>
      <c r="G19" s="1362"/>
    </row>
    <row r="20" spans="1:7" ht="21.95" customHeight="1">
      <c r="A20" s="1333" t="s">
        <v>2152</v>
      </c>
      <c r="B20" s="1334"/>
      <c r="C20" s="1363"/>
      <c r="D20" s="1334"/>
      <c r="E20" s="1363"/>
      <c r="F20" s="1364">
        <f>F7+F11+F13</f>
        <v>38821</v>
      </c>
      <c r="G20" s="1365"/>
    </row>
    <row r="21" spans="1:7" ht="21.95" customHeight="1">
      <c r="A21" s="1324" t="s">
        <v>551</v>
      </c>
      <c r="B21" s="1325"/>
      <c r="C21" s="1325"/>
      <c r="D21" s="1325"/>
      <c r="E21" s="1325"/>
      <c r="F21" s="1325"/>
      <c r="G21" s="1326"/>
    </row>
    <row r="22" spans="1:7" ht="21.95" customHeight="1">
      <c r="A22" s="1327"/>
      <c r="B22" s="1328"/>
      <c r="C22" s="1328"/>
      <c r="D22" s="1328"/>
      <c r="E22" s="1328"/>
      <c r="F22" s="1328"/>
      <c r="G22" s="1329"/>
    </row>
    <row r="23" spans="1:7" ht="21.95" customHeight="1">
      <c r="A23" s="1330" t="s">
        <v>552</v>
      </c>
      <c r="B23" s="1331"/>
      <c r="C23" s="1331"/>
      <c r="D23" s="1331"/>
      <c r="E23" s="1331"/>
      <c r="F23" s="1331"/>
      <c r="G23" s="1332"/>
    </row>
    <row r="24" spans="1:7" ht="21.95" customHeight="1">
      <c r="A24" s="1333" t="s">
        <v>137</v>
      </c>
      <c r="B24" s="1334" t="s">
        <v>541</v>
      </c>
      <c r="C24" s="1334" t="s">
        <v>2148</v>
      </c>
      <c r="D24" s="1334" t="s">
        <v>140</v>
      </c>
      <c r="E24" s="1334" t="s">
        <v>542</v>
      </c>
      <c r="F24" s="1334" t="s">
        <v>543</v>
      </c>
      <c r="G24" s="1335" t="s">
        <v>544</v>
      </c>
    </row>
    <row r="25" spans="1:7" ht="21.95" customHeight="1">
      <c r="A25" s="1336" t="s">
        <v>2149</v>
      </c>
      <c r="B25" s="1337" t="s">
        <v>545</v>
      </c>
      <c r="C25" s="1366">
        <v>0</v>
      </c>
      <c r="D25" s="1337" t="s">
        <v>546</v>
      </c>
      <c r="E25" s="1339">
        <f ca="1">'테라토7-단가적용'!J10</f>
        <v>1322</v>
      </c>
      <c r="F25" s="1339">
        <f>ROUNDDOWN(C25*E25,0)</f>
        <v>0</v>
      </c>
      <c r="G25" s="1340"/>
    </row>
    <row r="26" spans="1:7" ht="21.95" customHeight="1">
      <c r="A26" s="1341"/>
      <c r="B26" s="1342" t="s">
        <v>547</v>
      </c>
      <c r="C26" s="1356">
        <v>0</v>
      </c>
      <c r="D26" s="1342" t="s">
        <v>861</v>
      </c>
      <c r="E26" s="1344"/>
      <c r="F26" s="1344">
        <f>ROUNDDOWN(F25*25%,0)</f>
        <v>0</v>
      </c>
      <c r="G26" s="1345"/>
    </row>
    <row r="27" spans="1:7" ht="21.95" customHeight="1">
      <c r="A27" s="1346"/>
      <c r="B27" s="1347" t="s">
        <v>1947</v>
      </c>
      <c r="C27" s="1348"/>
      <c r="D27" s="1347"/>
      <c r="E27" s="1348"/>
      <c r="F27" s="1349">
        <f>SUM(F25:F26)</f>
        <v>0</v>
      </c>
      <c r="G27" s="1350"/>
    </row>
    <row r="28" spans="1:7" ht="21.95" customHeight="1">
      <c r="A28" s="1351" t="s">
        <v>2150</v>
      </c>
      <c r="B28" s="1352" t="s">
        <v>548</v>
      </c>
      <c r="C28" s="1353">
        <v>1</v>
      </c>
      <c r="D28" s="1352" t="s">
        <v>1221</v>
      </c>
      <c r="E28" s="1354">
        <f ca="1">'테라토7-장비기준'!S31</f>
        <v>0</v>
      </c>
      <c r="F28" s="1354">
        <f>ROUNDDOWN(C28*E28,0)</f>
        <v>0</v>
      </c>
      <c r="G28" s="1355"/>
    </row>
    <row r="29" spans="1:7" ht="21.95" customHeight="1">
      <c r="A29" s="1341"/>
      <c r="B29" s="1342" t="s">
        <v>549</v>
      </c>
      <c r="C29" s="1356">
        <v>0</v>
      </c>
      <c r="D29" s="1342" t="s">
        <v>1221</v>
      </c>
      <c r="E29" s="1357">
        <f ca="1">'테라토7-장비기준'!S32</f>
        <v>0</v>
      </c>
      <c r="F29" s="1357">
        <f>ROUNDDOWN(C29*E29,0)</f>
        <v>0</v>
      </c>
      <c r="G29" s="1345"/>
    </row>
    <row r="30" spans="1:7" ht="21.95" customHeight="1">
      <c r="A30" s="1341"/>
      <c r="B30" s="1342" t="s">
        <v>550</v>
      </c>
      <c r="C30" s="1356">
        <v>0</v>
      </c>
      <c r="D30" s="1342" t="s">
        <v>1221</v>
      </c>
      <c r="E30" s="1357">
        <f ca="1">'테라토7-장비기준'!S33</f>
        <v>0</v>
      </c>
      <c r="F30" s="1357">
        <f>ROUNDDOWN(C30*E30,0)</f>
        <v>0</v>
      </c>
      <c r="G30" s="1345"/>
    </row>
    <row r="31" spans="1:7" ht="21.95" customHeight="1">
      <c r="A31" s="1346"/>
      <c r="B31" s="1347" t="s">
        <v>1947</v>
      </c>
      <c r="C31" s="1348"/>
      <c r="D31" s="1347"/>
      <c r="E31" s="1348"/>
      <c r="F31" s="1349">
        <f>SUM(F28:F30)</f>
        <v>0</v>
      </c>
      <c r="G31" s="1350"/>
    </row>
    <row r="32" spans="1:7" ht="21.95" customHeight="1">
      <c r="A32" s="1351" t="s">
        <v>2207</v>
      </c>
      <c r="B32" s="1352" t="s">
        <v>2191</v>
      </c>
      <c r="C32" s="1353">
        <v>0.42209999999999998</v>
      </c>
      <c r="D32" s="1352"/>
      <c r="E32" s="1358">
        <v>58240</v>
      </c>
      <c r="F32" s="1357">
        <f>E32*C32</f>
        <v>24583.103999999999</v>
      </c>
      <c r="G32" s="1355"/>
    </row>
    <row r="33" spans="1:7" ht="21.95" customHeight="1">
      <c r="A33" s="1346"/>
      <c r="B33" s="1347" t="s">
        <v>1947</v>
      </c>
      <c r="C33" s="1348"/>
      <c r="D33" s="1347"/>
      <c r="E33" s="1348"/>
      <c r="F33" s="1349">
        <f>SUM(F32)</f>
        <v>24583.103999999999</v>
      </c>
      <c r="G33" s="1350"/>
    </row>
    <row r="34" spans="1:7" ht="21.95" customHeight="1">
      <c r="A34" s="1359"/>
      <c r="B34" s="1360"/>
      <c r="C34" s="1361"/>
      <c r="D34" s="1360"/>
      <c r="E34" s="1361"/>
      <c r="F34" s="1361"/>
      <c r="G34" s="1362"/>
    </row>
    <row r="35" spans="1:7" ht="21.95" customHeight="1">
      <c r="A35" s="1359"/>
      <c r="B35" s="1360"/>
      <c r="C35" s="1361"/>
      <c r="D35" s="1360"/>
      <c r="E35" s="1361"/>
      <c r="F35" s="1361"/>
      <c r="G35" s="1362"/>
    </row>
    <row r="36" spans="1:7" ht="21.95" customHeight="1">
      <c r="A36" s="1359"/>
      <c r="B36" s="1360"/>
      <c r="C36" s="1361"/>
      <c r="D36" s="1360"/>
      <c r="E36" s="1361"/>
      <c r="F36" s="1361"/>
      <c r="G36" s="1362"/>
    </row>
    <row r="37" spans="1:7" ht="21.95" customHeight="1">
      <c r="A37" s="1359"/>
      <c r="B37" s="1360"/>
      <c r="C37" s="1361"/>
      <c r="D37" s="1360"/>
      <c r="E37" s="1361"/>
      <c r="F37" s="1361"/>
      <c r="G37" s="1362"/>
    </row>
    <row r="38" spans="1:7" ht="21.95" customHeight="1">
      <c r="A38" s="1359"/>
      <c r="B38" s="1360"/>
      <c r="C38" s="1361"/>
      <c r="D38" s="1360"/>
      <c r="E38" s="1361"/>
      <c r="F38" s="1361"/>
      <c r="G38" s="1362"/>
    </row>
    <row r="39" spans="1:7" ht="21.95" customHeight="1">
      <c r="A39" s="1359"/>
      <c r="B39" s="1360"/>
      <c r="C39" s="1361"/>
      <c r="D39" s="1360"/>
      <c r="E39" s="1361"/>
      <c r="F39" s="1361"/>
      <c r="G39" s="1362"/>
    </row>
    <row r="40" spans="1:7" ht="21.95" customHeight="1">
      <c r="A40" s="1333" t="s">
        <v>2152</v>
      </c>
      <c r="B40" s="1334"/>
      <c r="C40" s="1363"/>
      <c r="D40" s="1334"/>
      <c r="E40" s="1363"/>
      <c r="F40" s="1364">
        <f>F27+F31+F33</f>
        <v>24583.103999999999</v>
      </c>
      <c r="G40" s="1365"/>
    </row>
    <row r="41" spans="1:7" ht="21.95" customHeight="1">
      <c r="A41" s="1324" t="s">
        <v>553</v>
      </c>
      <c r="B41" s="1325"/>
      <c r="C41" s="1325"/>
      <c r="D41" s="1325"/>
      <c r="E41" s="1325"/>
      <c r="F41" s="1325"/>
      <c r="G41" s="1326"/>
    </row>
    <row r="42" spans="1:7" ht="21.95" customHeight="1">
      <c r="A42" s="1327"/>
      <c r="B42" s="1328"/>
      <c r="C42" s="1328"/>
      <c r="D42" s="1328"/>
      <c r="E42" s="1328"/>
      <c r="F42" s="1328"/>
      <c r="G42" s="1329"/>
    </row>
    <row r="43" spans="1:7" ht="21.95" customHeight="1">
      <c r="A43" s="1330" t="s">
        <v>554</v>
      </c>
      <c r="B43" s="1331"/>
      <c r="C43" s="1331"/>
      <c r="D43" s="1331"/>
      <c r="E43" s="1331"/>
      <c r="F43" s="1331"/>
      <c r="G43" s="1332"/>
    </row>
    <row r="44" spans="1:7" ht="21.95" customHeight="1">
      <c r="A44" s="1333" t="s">
        <v>137</v>
      </c>
      <c r="B44" s="1334" t="s">
        <v>541</v>
      </c>
      <c r="C44" s="1334" t="s">
        <v>2148</v>
      </c>
      <c r="D44" s="1334" t="s">
        <v>140</v>
      </c>
      <c r="E44" s="1334" t="s">
        <v>542</v>
      </c>
      <c r="F44" s="1334" t="s">
        <v>543</v>
      </c>
      <c r="G44" s="1335" t="s">
        <v>544</v>
      </c>
    </row>
    <row r="45" spans="1:7" ht="21.95" customHeight="1">
      <c r="A45" s="1336" t="s">
        <v>2149</v>
      </c>
      <c r="B45" s="1337" t="s">
        <v>545</v>
      </c>
      <c r="C45" s="1338">
        <v>23</v>
      </c>
      <c r="D45" s="1337" t="s">
        <v>546</v>
      </c>
      <c r="E45" s="1339">
        <f ca="1">'테라토7-단가적용'!J10</f>
        <v>1322</v>
      </c>
      <c r="F45" s="1339">
        <f>ROUNDDOWN(C45*E45,0)</f>
        <v>30406</v>
      </c>
      <c r="G45" s="1340"/>
    </row>
    <row r="46" spans="1:7" ht="21.95" customHeight="1">
      <c r="A46" s="1341"/>
      <c r="B46" s="1342" t="s">
        <v>547</v>
      </c>
      <c r="C46" s="1343">
        <v>16</v>
      </c>
      <c r="D46" s="1342" t="s">
        <v>861</v>
      </c>
      <c r="E46" s="1344"/>
      <c r="F46" s="1344">
        <f>ROUNDDOWN(F45*18%,0)</f>
        <v>5473</v>
      </c>
      <c r="G46" s="1345"/>
    </row>
    <row r="47" spans="1:7" ht="21.95" customHeight="1">
      <c r="A47" s="1346"/>
      <c r="B47" s="1347" t="s">
        <v>1947</v>
      </c>
      <c r="C47" s="1348"/>
      <c r="D47" s="1347"/>
      <c r="E47" s="1348"/>
      <c r="F47" s="1349">
        <f>SUM(F45:F46)</f>
        <v>35879</v>
      </c>
      <c r="G47" s="1350"/>
    </row>
    <row r="48" spans="1:7" ht="21.95" customHeight="1">
      <c r="A48" s="1351" t="s">
        <v>2150</v>
      </c>
      <c r="B48" s="1352" t="s">
        <v>548</v>
      </c>
      <c r="C48" s="1353">
        <v>1</v>
      </c>
      <c r="D48" s="1352" t="s">
        <v>1221</v>
      </c>
      <c r="E48" s="1354">
        <f ca="1">'테라토7-장비기준'!S11</f>
        <v>20561</v>
      </c>
      <c r="F48" s="1354">
        <f>ROUNDDOWN(C48*E48,0)</f>
        <v>20561</v>
      </c>
      <c r="G48" s="1355"/>
    </row>
    <row r="49" spans="1:7" ht="21.95" customHeight="1">
      <c r="A49" s="1341"/>
      <c r="B49" s="1342" t="s">
        <v>549</v>
      </c>
      <c r="C49" s="1356">
        <v>0</v>
      </c>
      <c r="D49" s="1342" t="s">
        <v>1221</v>
      </c>
      <c r="E49" s="1357">
        <f ca="1">'테라토7-장비기준'!S12</f>
        <v>11517</v>
      </c>
      <c r="F49" s="1357">
        <f>ROUNDDOWN(C49*E49,0)</f>
        <v>0</v>
      </c>
      <c r="G49" s="1345"/>
    </row>
    <row r="50" spans="1:7" ht="21.95" customHeight="1">
      <c r="A50" s="1341"/>
      <c r="B50" s="1342" t="s">
        <v>550</v>
      </c>
      <c r="C50" s="1356">
        <v>0</v>
      </c>
      <c r="D50" s="1342" t="s">
        <v>1221</v>
      </c>
      <c r="E50" s="1357">
        <f ca="1">'테라토7-장비기준'!S13</f>
        <v>19656</v>
      </c>
      <c r="F50" s="1357">
        <f>ROUNDDOWN(C50*E50,0)</f>
        <v>0</v>
      </c>
      <c r="G50" s="1345"/>
    </row>
    <row r="51" spans="1:7" ht="21.95" customHeight="1">
      <c r="A51" s="1346"/>
      <c r="B51" s="1347" t="s">
        <v>1947</v>
      </c>
      <c r="C51" s="1348"/>
      <c r="D51" s="1347"/>
      <c r="E51" s="1348"/>
      <c r="F51" s="1349">
        <f>SUM(F48:F50)</f>
        <v>20561</v>
      </c>
      <c r="G51" s="1350"/>
    </row>
    <row r="52" spans="1:7" ht="21.95" customHeight="1">
      <c r="A52" s="1351" t="s">
        <v>2207</v>
      </c>
      <c r="B52" s="1352" t="s">
        <v>2191</v>
      </c>
      <c r="C52" s="1353">
        <v>0.20269999999999999</v>
      </c>
      <c r="D52" s="1352"/>
      <c r="E52" s="1358">
        <v>28000</v>
      </c>
      <c r="F52" s="1358">
        <f>E52*C52</f>
        <v>5675.5999999999995</v>
      </c>
      <c r="G52" s="1355"/>
    </row>
    <row r="53" spans="1:7" ht="21.95" customHeight="1">
      <c r="A53" s="1346"/>
      <c r="B53" s="1347" t="s">
        <v>1947</v>
      </c>
      <c r="C53" s="1348"/>
      <c r="D53" s="1347"/>
      <c r="E53" s="1348"/>
      <c r="F53" s="1349">
        <f>SUM(F52)</f>
        <v>5675.5999999999995</v>
      </c>
      <c r="G53" s="1350"/>
    </row>
    <row r="54" spans="1:7" ht="21.95" customHeight="1">
      <c r="A54" s="1359"/>
      <c r="B54" s="1360"/>
      <c r="C54" s="1361"/>
      <c r="D54" s="1360"/>
      <c r="E54" s="1361"/>
      <c r="F54" s="1361"/>
      <c r="G54" s="1362"/>
    </row>
    <row r="55" spans="1:7" ht="21.95" customHeight="1">
      <c r="A55" s="1359"/>
      <c r="B55" s="1360"/>
      <c r="C55" s="1361"/>
      <c r="D55" s="1360"/>
      <c r="E55" s="1361"/>
      <c r="F55" s="1361"/>
      <c r="G55" s="1362"/>
    </row>
    <row r="56" spans="1:7" ht="21.95" customHeight="1">
      <c r="A56" s="1359"/>
      <c r="B56" s="1360"/>
      <c r="C56" s="1361"/>
      <c r="D56" s="1360"/>
      <c r="E56" s="1361"/>
      <c r="F56" s="1361"/>
      <c r="G56" s="1362"/>
    </row>
    <row r="57" spans="1:7" ht="21.95" customHeight="1">
      <c r="A57" s="1359"/>
      <c r="B57" s="1360"/>
      <c r="C57" s="1361"/>
      <c r="D57" s="1360"/>
      <c r="E57" s="1361"/>
      <c r="F57" s="1361"/>
      <c r="G57" s="1362"/>
    </row>
    <row r="58" spans="1:7" ht="21.95" customHeight="1">
      <c r="A58" s="1359"/>
      <c r="B58" s="1360"/>
      <c r="C58" s="1361"/>
      <c r="D58" s="1360"/>
      <c r="E58" s="1361"/>
      <c r="F58" s="1361"/>
      <c r="G58" s="1362"/>
    </row>
    <row r="59" spans="1:7" ht="21.95" customHeight="1">
      <c r="A59" s="1359"/>
      <c r="B59" s="1360"/>
      <c r="C59" s="1361"/>
      <c r="D59" s="1360"/>
      <c r="E59" s="1361"/>
      <c r="F59" s="1361"/>
      <c r="G59" s="1362"/>
    </row>
    <row r="60" spans="1:7" ht="21.95" customHeight="1">
      <c r="A60" s="1333" t="s">
        <v>2152</v>
      </c>
      <c r="B60" s="1334"/>
      <c r="C60" s="1363"/>
      <c r="D60" s="1334"/>
      <c r="E60" s="1363"/>
      <c r="F60" s="1364">
        <f>F47+F51+F53</f>
        <v>62115.6</v>
      </c>
      <c r="G60" s="1365"/>
    </row>
    <row r="61" spans="1:7" ht="21.95" customHeight="1">
      <c r="A61" s="1367" t="s">
        <v>555</v>
      </c>
      <c r="B61" s="1325"/>
      <c r="C61" s="1325"/>
      <c r="D61" s="1325"/>
      <c r="E61" s="1325"/>
      <c r="F61" s="1325"/>
      <c r="G61" s="1326"/>
    </row>
    <row r="62" spans="1:7" ht="21.95" customHeight="1">
      <c r="A62" s="1327"/>
      <c r="B62" s="1328"/>
      <c r="C62" s="1328"/>
      <c r="D62" s="1328"/>
      <c r="E62" s="1328"/>
      <c r="F62" s="1328"/>
      <c r="G62" s="1329"/>
    </row>
    <row r="63" spans="1:7" ht="21.95" customHeight="1">
      <c r="A63" s="1330" t="s">
        <v>556</v>
      </c>
      <c r="B63" s="1331"/>
      <c r="C63" s="1331"/>
      <c r="D63" s="1331"/>
      <c r="E63" s="1331"/>
      <c r="F63" s="1331"/>
      <c r="G63" s="1332"/>
    </row>
    <row r="64" spans="1:7" ht="21.95" customHeight="1">
      <c r="A64" s="1333" t="s">
        <v>137</v>
      </c>
      <c r="B64" s="1334" t="s">
        <v>541</v>
      </c>
      <c r="C64" s="1334" t="s">
        <v>2148</v>
      </c>
      <c r="D64" s="1334" t="s">
        <v>140</v>
      </c>
      <c r="E64" s="1334" t="s">
        <v>542</v>
      </c>
      <c r="F64" s="1334" t="s">
        <v>543</v>
      </c>
      <c r="G64" s="1335" t="s">
        <v>544</v>
      </c>
    </row>
    <row r="65" spans="1:7" ht="21.95" customHeight="1">
      <c r="A65" s="1336" t="s">
        <v>2149</v>
      </c>
      <c r="B65" s="1337" t="s">
        <v>545</v>
      </c>
      <c r="C65" s="1338">
        <v>9.9</v>
      </c>
      <c r="D65" s="1337" t="s">
        <v>546</v>
      </c>
      <c r="E65" s="1339">
        <f ca="1">'테라토7-장비기준'!E8</f>
        <v>1322</v>
      </c>
      <c r="F65" s="1339">
        <f>ROUNDDOWN(C65*E65,0)</f>
        <v>13087</v>
      </c>
      <c r="G65" s="1340"/>
    </row>
    <row r="66" spans="1:7" ht="21.95" customHeight="1">
      <c r="A66" s="1341"/>
      <c r="B66" s="1342" t="s">
        <v>547</v>
      </c>
      <c r="C66" s="1343">
        <v>22</v>
      </c>
      <c r="D66" s="1342" t="s">
        <v>861</v>
      </c>
      <c r="E66" s="1344"/>
      <c r="F66" s="1344">
        <f>ROUNDDOWN(F65*25%,0)</f>
        <v>3271</v>
      </c>
      <c r="G66" s="1345"/>
    </row>
    <row r="67" spans="1:7" ht="21.95" customHeight="1">
      <c r="A67" s="1346"/>
      <c r="B67" s="1347" t="s">
        <v>1947</v>
      </c>
      <c r="C67" s="1348"/>
      <c r="D67" s="1347"/>
      <c r="E67" s="1348"/>
      <c r="F67" s="1349">
        <f>SUM(F65:F66)</f>
        <v>16358</v>
      </c>
      <c r="G67" s="1350"/>
    </row>
    <row r="68" spans="1:7" ht="21.95" customHeight="1">
      <c r="A68" s="1351" t="s">
        <v>2150</v>
      </c>
      <c r="B68" s="1352" t="s">
        <v>548</v>
      </c>
      <c r="C68" s="1353">
        <v>0.20832999999999999</v>
      </c>
      <c r="D68" s="1352" t="s">
        <v>1221</v>
      </c>
      <c r="E68" s="1354">
        <f ca="1">'테라토7-장비기준'!E11</f>
        <v>98693</v>
      </c>
      <c r="F68" s="1354">
        <f>ROUNDDOWN(C68*E68,0)</f>
        <v>20560</v>
      </c>
      <c r="G68" s="1355"/>
    </row>
    <row r="69" spans="1:7" ht="21.95" customHeight="1">
      <c r="A69" s="1341"/>
      <c r="B69" s="1342" t="s">
        <v>549</v>
      </c>
      <c r="C69" s="1343"/>
      <c r="D69" s="1342" t="s">
        <v>1221</v>
      </c>
      <c r="E69" s="1357"/>
      <c r="F69" s="1357">
        <f>ROUNDDOWN(C69*E69,0)</f>
        <v>0</v>
      </c>
      <c r="G69" s="1345"/>
    </row>
    <row r="70" spans="1:7" ht="21.95" customHeight="1">
      <c r="A70" s="1341"/>
      <c r="B70" s="1342" t="s">
        <v>550</v>
      </c>
      <c r="C70" s="1343">
        <v>4.1660000000000003E-2</v>
      </c>
      <c r="D70" s="1342" t="s">
        <v>1221</v>
      </c>
      <c r="E70" s="1357">
        <f ca="1">'테라토7-장비기준'!E13</f>
        <v>94350</v>
      </c>
      <c r="F70" s="1357">
        <f>ROUNDDOWN(C70*E70,0)</f>
        <v>3930</v>
      </c>
      <c r="G70" s="1345"/>
    </row>
    <row r="71" spans="1:7" ht="21.95" customHeight="1">
      <c r="A71" s="1346"/>
      <c r="B71" s="1347" t="s">
        <v>1947</v>
      </c>
      <c r="C71" s="1348"/>
      <c r="D71" s="1347"/>
      <c r="E71" s="1348"/>
      <c r="F71" s="1349">
        <f>SUM(F68:F70)</f>
        <v>24490</v>
      </c>
      <c r="G71" s="1350"/>
    </row>
    <row r="72" spans="1:7" ht="21.95" customHeight="1">
      <c r="A72" s="1351" t="s">
        <v>2207</v>
      </c>
      <c r="B72" s="1352" t="s">
        <v>2191</v>
      </c>
      <c r="C72" s="1353">
        <v>0.20380000000000001</v>
      </c>
      <c r="D72" s="1352"/>
      <c r="E72" s="1358">
        <v>61106</v>
      </c>
      <c r="F72" s="1358">
        <f>ROUNDDOWN(C72*E72,0)</f>
        <v>12453</v>
      </c>
      <c r="G72" s="1355"/>
    </row>
    <row r="73" spans="1:7" ht="21.95" customHeight="1">
      <c r="A73" s="1346"/>
      <c r="B73" s="1347" t="s">
        <v>1947</v>
      </c>
      <c r="C73" s="1348"/>
      <c r="D73" s="1347"/>
      <c r="E73" s="1348"/>
      <c r="F73" s="1349">
        <f>SUM(F72)</f>
        <v>12453</v>
      </c>
      <c r="G73" s="1350"/>
    </row>
    <row r="74" spans="1:7" ht="21.95" customHeight="1">
      <c r="A74" s="1359"/>
      <c r="B74" s="1360"/>
      <c r="C74" s="1361"/>
      <c r="D74" s="1360"/>
      <c r="E74" s="1361"/>
      <c r="F74" s="1361"/>
      <c r="G74" s="1362"/>
    </row>
    <row r="75" spans="1:7" ht="21.95" customHeight="1">
      <c r="A75" s="1359"/>
      <c r="B75" s="1360"/>
      <c r="C75" s="1361"/>
      <c r="D75" s="1360"/>
      <c r="E75" s="1361"/>
      <c r="F75" s="1361"/>
      <c r="G75" s="1362"/>
    </row>
    <row r="76" spans="1:7" ht="21.95" customHeight="1">
      <c r="A76" s="1359"/>
      <c r="B76" s="1360"/>
      <c r="C76" s="1361"/>
      <c r="D76" s="1360"/>
      <c r="E76" s="1361"/>
      <c r="F76" s="1361"/>
      <c r="G76" s="1362"/>
    </row>
    <row r="77" spans="1:7" ht="21.95" customHeight="1">
      <c r="A77" s="1359"/>
      <c r="B77" s="1360"/>
      <c r="C77" s="1361"/>
      <c r="D77" s="1360"/>
      <c r="E77" s="1361"/>
      <c r="F77" s="1361"/>
      <c r="G77" s="1362"/>
    </row>
    <row r="78" spans="1:7" ht="21.95" customHeight="1">
      <c r="A78" s="1359"/>
      <c r="B78" s="1360"/>
      <c r="C78" s="1361"/>
      <c r="D78" s="1360"/>
      <c r="E78" s="1361"/>
      <c r="F78" s="1361"/>
      <c r="G78" s="1362"/>
    </row>
    <row r="79" spans="1:7" ht="21.95" customHeight="1">
      <c r="A79" s="1359"/>
      <c r="B79" s="1360"/>
      <c r="C79" s="1361"/>
      <c r="D79" s="1360"/>
      <c r="E79" s="1361"/>
      <c r="F79" s="1361"/>
      <c r="G79" s="1362"/>
    </row>
    <row r="80" spans="1:7" ht="21.95" customHeight="1">
      <c r="A80" s="1333" t="s">
        <v>2152</v>
      </c>
      <c r="B80" s="1334"/>
      <c r="C80" s="1363"/>
      <c r="D80" s="1334"/>
      <c r="E80" s="1363"/>
      <c r="F80" s="1364">
        <f>F67+F71+F73</f>
        <v>53301</v>
      </c>
      <c r="G80" s="1365"/>
    </row>
    <row r="81" spans="1:7" ht="21.95" customHeight="1">
      <c r="A81" s="1367" t="s">
        <v>557</v>
      </c>
      <c r="B81" s="1325"/>
      <c r="C81" s="1325"/>
      <c r="D81" s="1325"/>
      <c r="E81" s="1325"/>
      <c r="F81" s="1325"/>
      <c r="G81" s="1326"/>
    </row>
    <row r="82" spans="1:7" ht="21.95" customHeight="1">
      <c r="A82" s="1327"/>
      <c r="B82" s="1328"/>
      <c r="C82" s="1328"/>
      <c r="D82" s="1328"/>
      <c r="E82" s="1328"/>
      <c r="F82" s="1328"/>
      <c r="G82" s="1329"/>
    </row>
    <row r="83" spans="1:7" ht="21.95" customHeight="1">
      <c r="A83" s="1330" t="s">
        <v>558</v>
      </c>
      <c r="B83" s="1331"/>
      <c r="C83" s="1331"/>
      <c r="D83" s="1331"/>
      <c r="E83" s="1331"/>
      <c r="F83" s="1331"/>
      <c r="G83" s="1332"/>
    </row>
    <row r="84" spans="1:7" ht="21.95" customHeight="1">
      <c r="A84" s="1333" t="s">
        <v>137</v>
      </c>
      <c r="B84" s="1334" t="s">
        <v>541</v>
      </c>
      <c r="C84" s="1334" t="s">
        <v>2148</v>
      </c>
      <c r="D84" s="1334" t="s">
        <v>140</v>
      </c>
      <c r="E84" s="1334" t="s">
        <v>542</v>
      </c>
      <c r="F84" s="1334" t="s">
        <v>543</v>
      </c>
      <c r="G84" s="1335" t="s">
        <v>544</v>
      </c>
    </row>
    <row r="85" spans="1:7" ht="21.95" customHeight="1">
      <c r="A85" s="1336" t="s">
        <v>2149</v>
      </c>
      <c r="B85" s="1337" t="s">
        <v>545</v>
      </c>
      <c r="C85" s="1338">
        <v>11.6</v>
      </c>
      <c r="D85" s="1337" t="s">
        <v>546</v>
      </c>
      <c r="E85" s="1339">
        <f ca="1">'테라토7-장비기준'!E8</f>
        <v>1322</v>
      </c>
      <c r="F85" s="1339">
        <f>ROUNDDOWN(C85*E85,0)</f>
        <v>15335</v>
      </c>
      <c r="G85" s="1340"/>
    </row>
    <row r="86" spans="1:7" ht="21.95" customHeight="1">
      <c r="A86" s="1341"/>
      <c r="B86" s="1342" t="s">
        <v>547</v>
      </c>
      <c r="C86" s="1343">
        <v>22</v>
      </c>
      <c r="D86" s="1342" t="s">
        <v>861</v>
      </c>
      <c r="E86" s="1344"/>
      <c r="F86" s="1344">
        <f>ROUNDDOWN(F85*25%,0)</f>
        <v>3833</v>
      </c>
      <c r="G86" s="1345"/>
    </row>
    <row r="87" spans="1:7" ht="21.95" customHeight="1">
      <c r="A87" s="1346"/>
      <c r="B87" s="1347" t="s">
        <v>1947</v>
      </c>
      <c r="C87" s="1348"/>
      <c r="D87" s="1347"/>
      <c r="E87" s="1348"/>
      <c r="F87" s="1349">
        <f>SUM(F85:F86)</f>
        <v>19168</v>
      </c>
      <c r="G87" s="1350"/>
    </row>
    <row r="88" spans="1:7" ht="21.95" customHeight="1">
      <c r="A88" s="1351" t="s">
        <v>2150</v>
      </c>
      <c r="B88" s="1352" t="s">
        <v>548</v>
      </c>
      <c r="C88" s="1353">
        <v>0.20832999999999999</v>
      </c>
      <c r="D88" s="1352" t="s">
        <v>1221</v>
      </c>
      <c r="E88" s="1354">
        <f ca="1">'테라토7-장비기준'!E11</f>
        <v>98693</v>
      </c>
      <c r="F88" s="1354">
        <f>ROUNDDOWN(C88*E88,0)</f>
        <v>20560</v>
      </c>
      <c r="G88" s="1355"/>
    </row>
    <row r="89" spans="1:7" ht="21.95" customHeight="1">
      <c r="A89" s="1341"/>
      <c r="B89" s="1342" t="s">
        <v>549</v>
      </c>
      <c r="C89" s="1343"/>
      <c r="D89" s="1342" t="s">
        <v>1221</v>
      </c>
      <c r="E89" s="1357"/>
      <c r="F89" s="1357">
        <f>ROUNDDOWN(C89*E89,0)</f>
        <v>0</v>
      </c>
      <c r="G89" s="1345"/>
    </row>
    <row r="90" spans="1:7" ht="21.95" customHeight="1">
      <c r="A90" s="1341"/>
      <c r="B90" s="1342" t="s">
        <v>550</v>
      </c>
      <c r="C90" s="1343">
        <v>4.1660000000000003E-2</v>
      </c>
      <c r="D90" s="1342" t="s">
        <v>1221</v>
      </c>
      <c r="E90" s="1357">
        <f ca="1">'테라토7-장비기준'!E13</f>
        <v>94350</v>
      </c>
      <c r="F90" s="1357">
        <f>ROUNDDOWN(C90*E90,0)</f>
        <v>3930</v>
      </c>
      <c r="G90" s="1345"/>
    </row>
    <row r="91" spans="1:7" ht="21.95" customHeight="1">
      <c r="A91" s="1346"/>
      <c r="B91" s="1347" t="s">
        <v>1947</v>
      </c>
      <c r="C91" s="1348"/>
      <c r="D91" s="1347"/>
      <c r="E91" s="1368"/>
      <c r="F91" s="1349">
        <f>SUM(F88:F90)</f>
        <v>24490</v>
      </c>
      <c r="G91" s="1350"/>
    </row>
    <row r="92" spans="1:7" ht="21.95" customHeight="1">
      <c r="A92" s="1351" t="s">
        <v>2207</v>
      </c>
      <c r="B92" s="1352" t="s">
        <v>2191</v>
      </c>
      <c r="C92" s="1353">
        <f>C72</f>
        <v>0.20380000000000001</v>
      </c>
      <c r="D92" s="1352"/>
      <c r="E92" s="1358">
        <v>93042</v>
      </c>
      <c r="F92" s="1358">
        <f>ROUNDDOWN(C92*E92,0)</f>
        <v>18961</v>
      </c>
      <c r="G92" s="1355"/>
    </row>
    <row r="93" spans="1:7" ht="21.95" customHeight="1">
      <c r="A93" s="1346"/>
      <c r="B93" s="1347" t="s">
        <v>1947</v>
      </c>
      <c r="C93" s="1348"/>
      <c r="D93" s="1347"/>
      <c r="E93" s="1348"/>
      <c r="F93" s="1349">
        <f>SUM(F92)</f>
        <v>18961</v>
      </c>
      <c r="G93" s="1350"/>
    </row>
    <row r="94" spans="1:7" ht="21.95" customHeight="1">
      <c r="A94" s="1359"/>
      <c r="B94" s="1360"/>
      <c r="C94" s="1361"/>
      <c r="D94" s="1360"/>
      <c r="E94" s="1361"/>
      <c r="F94" s="1361"/>
      <c r="G94" s="1362"/>
    </row>
    <row r="95" spans="1:7" ht="21.95" customHeight="1">
      <c r="A95" s="1359"/>
      <c r="B95" s="1360"/>
      <c r="C95" s="1361"/>
      <c r="D95" s="1360"/>
      <c r="E95" s="1361"/>
      <c r="F95" s="1361"/>
      <c r="G95" s="1362"/>
    </row>
    <row r="96" spans="1:7" ht="21.95" customHeight="1">
      <c r="A96" s="1359"/>
      <c r="B96" s="1360"/>
      <c r="C96" s="1361"/>
      <c r="D96" s="1360"/>
      <c r="E96" s="1361"/>
      <c r="F96" s="1361"/>
      <c r="G96" s="1362"/>
    </row>
    <row r="97" spans="1:7" ht="21.95" customHeight="1">
      <c r="A97" s="1359"/>
      <c r="B97" s="1360"/>
      <c r="C97" s="1361"/>
      <c r="D97" s="1360"/>
      <c r="E97" s="1361"/>
      <c r="F97" s="1361"/>
      <c r="G97" s="1362"/>
    </row>
    <row r="98" spans="1:7" ht="21.95" customHeight="1">
      <c r="A98" s="1359"/>
      <c r="B98" s="1360"/>
      <c r="C98" s="1361"/>
      <c r="D98" s="1360"/>
      <c r="E98" s="1361"/>
      <c r="F98" s="1361"/>
      <c r="G98" s="1362"/>
    </row>
    <row r="99" spans="1:7" ht="21.95" customHeight="1">
      <c r="A99" s="1359"/>
      <c r="B99" s="1360"/>
      <c r="C99" s="1361"/>
      <c r="D99" s="1360"/>
      <c r="E99" s="1361"/>
      <c r="F99" s="1361"/>
      <c r="G99" s="1362"/>
    </row>
    <row r="100" spans="1:7" ht="21.95" customHeight="1">
      <c r="A100" s="1333" t="s">
        <v>2152</v>
      </c>
      <c r="B100" s="1334"/>
      <c r="C100" s="1363"/>
      <c r="D100" s="1334"/>
      <c r="E100" s="1363"/>
      <c r="F100" s="1364">
        <f>F87+F91+F93</f>
        <v>62619</v>
      </c>
      <c r="G100" s="1365"/>
    </row>
    <row r="101" spans="1:7" ht="21.95" customHeight="1">
      <c r="A101" s="1324" t="s">
        <v>559</v>
      </c>
      <c r="B101" s="1325"/>
      <c r="C101" s="1325"/>
      <c r="D101" s="1325"/>
      <c r="E101" s="1325"/>
      <c r="F101" s="1325"/>
      <c r="G101" s="1326"/>
    </row>
    <row r="102" spans="1:7" ht="21.95" customHeight="1">
      <c r="A102" s="1327"/>
      <c r="B102" s="1328"/>
      <c r="C102" s="1328"/>
      <c r="D102" s="1328"/>
      <c r="E102" s="1328"/>
      <c r="F102" s="1328"/>
      <c r="G102" s="1329"/>
    </row>
    <row r="103" spans="1:7" ht="21.95" customHeight="1">
      <c r="A103" s="1330" t="s">
        <v>560</v>
      </c>
      <c r="B103" s="1331"/>
      <c r="C103" s="1331"/>
      <c r="D103" s="1331"/>
      <c r="E103" s="1331"/>
      <c r="F103" s="1331"/>
      <c r="G103" s="1332"/>
    </row>
    <row r="104" spans="1:7" ht="21.95" customHeight="1">
      <c r="A104" s="1333" t="s">
        <v>137</v>
      </c>
      <c r="B104" s="1334" t="s">
        <v>541</v>
      </c>
      <c r="C104" s="1334" t="s">
        <v>2148</v>
      </c>
      <c r="D104" s="1334" t="s">
        <v>140</v>
      </c>
      <c r="E104" s="1334" t="s">
        <v>542</v>
      </c>
      <c r="F104" s="1334" t="s">
        <v>543</v>
      </c>
      <c r="G104" s="1335" t="s">
        <v>544</v>
      </c>
    </row>
    <row r="105" spans="1:7" ht="21.95" customHeight="1">
      <c r="A105" s="1336" t="s">
        <v>2149</v>
      </c>
      <c r="B105" s="1337" t="s">
        <v>545</v>
      </c>
      <c r="C105" s="1338">
        <v>3.8</v>
      </c>
      <c r="D105" s="1337" t="s">
        <v>546</v>
      </c>
      <c r="E105" s="1339">
        <f ca="1">'테라토7-단가적용'!J10</f>
        <v>1322</v>
      </c>
      <c r="F105" s="1339">
        <f>ROUNDDOWN(C105*E105,0)</f>
        <v>5023</v>
      </c>
      <c r="G105" s="1340"/>
    </row>
    <row r="106" spans="1:7" ht="21.95" customHeight="1">
      <c r="A106" s="1341"/>
      <c r="B106" s="1342" t="s">
        <v>547</v>
      </c>
      <c r="C106" s="1343">
        <v>39</v>
      </c>
      <c r="D106" s="1342" t="s">
        <v>861</v>
      </c>
      <c r="E106" s="1344"/>
      <c r="F106" s="1344">
        <f>ROUNDDOWN(F105*42%,0)</f>
        <v>2109</v>
      </c>
      <c r="G106" s="1345"/>
    </row>
    <row r="107" spans="1:7" ht="21.95" customHeight="1">
      <c r="A107" s="1346"/>
      <c r="B107" s="1347" t="s">
        <v>1947</v>
      </c>
      <c r="C107" s="1348"/>
      <c r="D107" s="1347"/>
      <c r="E107" s="1348"/>
      <c r="F107" s="1349">
        <f>SUM(F105:F106)</f>
        <v>7132</v>
      </c>
      <c r="G107" s="1350"/>
    </row>
    <row r="108" spans="1:7" ht="21.95" customHeight="1">
      <c r="A108" s="1351" t="s">
        <v>2150</v>
      </c>
      <c r="B108" s="1352" t="s">
        <v>548</v>
      </c>
      <c r="C108" s="1353">
        <v>0.20832999999999999</v>
      </c>
      <c r="D108" s="1352" t="s">
        <v>1221</v>
      </c>
      <c r="E108" s="1354">
        <f ca="1">'테라토7-장비기준'!E11</f>
        <v>98693</v>
      </c>
      <c r="F108" s="1354">
        <f>ROUNDDOWN(C108*E108,0)</f>
        <v>20560</v>
      </c>
      <c r="G108" s="1355"/>
    </row>
    <row r="109" spans="1:7" ht="21.95" customHeight="1">
      <c r="A109" s="1341"/>
      <c r="B109" s="1342" t="s">
        <v>549</v>
      </c>
      <c r="C109" s="1343"/>
      <c r="D109" s="1342" t="s">
        <v>1221</v>
      </c>
      <c r="E109" s="1357"/>
      <c r="F109" s="1357">
        <f>ROUNDDOWN(C109*E109,0)</f>
        <v>0</v>
      </c>
      <c r="G109" s="1345"/>
    </row>
    <row r="110" spans="1:7" ht="21.95" customHeight="1">
      <c r="A110" s="1341"/>
      <c r="B110" s="1342" t="s">
        <v>550</v>
      </c>
      <c r="C110" s="1343">
        <v>4.1660000000000003E-2</v>
      </c>
      <c r="D110" s="1342" t="s">
        <v>1221</v>
      </c>
      <c r="E110" s="1357">
        <f ca="1">'테라토7-장비기준'!E13</f>
        <v>94350</v>
      </c>
      <c r="F110" s="1357">
        <f>ROUNDDOWN(C110*E110,0)</f>
        <v>3930</v>
      </c>
      <c r="G110" s="1345"/>
    </row>
    <row r="111" spans="1:7" ht="21.95" customHeight="1">
      <c r="A111" s="1346"/>
      <c r="B111" s="1347" t="s">
        <v>1947</v>
      </c>
      <c r="C111" s="1348"/>
      <c r="D111" s="1347"/>
      <c r="E111" s="1368"/>
      <c r="F111" s="1349">
        <f>SUM(F108:F110)</f>
        <v>24490</v>
      </c>
      <c r="G111" s="1350"/>
    </row>
    <row r="112" spans="1:7" ht="21.95" customHeight="1">
      <c r="A112" s="1351" t="s">
        <v>2207</v>
      </c>
      <c r="B112" s="1352" t="s">
        <v>2191</v>
      </c>
      <c r="C112" s="1353">
        <v>0.22320000000000001</v>
      </c>
      <c r="D112" s="1352"/>
      <c r="E112" s="1358">
        <v>105000</v>
      </c>
      <c r="F112" s="1358">
        <f>E112*C112</f>
        <v>23436</v>
      </c>
      <c r="G112" s="1355"/>
    </row>
    <row r="113" spans="1:7" ht="21.95" customHeight="1">
      <c r="A113" s="1346"/>
      <c r="B113" s="1347" t="s">
        <v>1947</v>
      </c>
      <c r="C113" s="1348"/>
      <c r="D113" s="1347"/>
      <c r="E113" s="1348"/>
      <c r="F113" s="1349">
        <f>SUM(F112)</f>
        <v>23436</v>
      </c>
      <c r="G113" s="1350"/>
    </row>
    <row r="114" spans="1:7" ht="21.95" customHeight="1">
      <c r="A114" s="1359"/>
      <c r="B114" s="1360"/>
      <c r="C114" s="1361"/>
      <c r="D114" s="1360"/>
      <c r="E114" s="1361"/>
      <c r="F114" s="1361"/>
      <c r="G114" s="1362"/>
    </row>
    <row r="115" spans="1:7" ht="21.95" customHeight="1">
      <c r="A115" s="1359"/>
      <c r="B115" s="1360"/>
      <c r="C115" s="1361"/>
      <c r="D115" s="1360"/>
      <c r="E115" s="1361"/>
      <c r="F115" s="1361"/>
      <c r="G115" s="1362"/>
    </row>
    <row r="116" spans="1:7" ht="21.95" customHeight="1">
      <c r="A116" s="1359"/>
      <c r="B116" s="1360"/>
      <c r="C116" s="1361"/>
      <c r="D116" s="1360"/>
      <c r="E116" s="1361"/>
      <c r="F116" s="1361"/>
      <c r="G116" s="1362"/>
    </row>
    <row r="117" spans="1:7" ht="21.95" customHeight="1">
      <c r="A117" s="1359"/>
      <c r="B117" s="1360"/>
      <c r="C117" s="1361"/>
      <c r="D117" s="1360"/>
      <c r="E117" s="1361"/>
      <c r="F117" s="1361"/>
      <c r="G117" s="1362"/>
    </row>
    <row r="118" spans="1:7" ht="21.95" customHeight="1">
      <c r="A118" s="1359"/>
      <c r="B118" s="1360"/>
      <c r="C118" s="1361"/>
      <c r="D118" s="1360"/>
      <c r="E118" s="1361"/>
      <c r="F118" s="1361"/>
      <c r="G118" s="1362"/>
    </row>
    <row r="119" spans="1:7" ht="21.95" customHeight="1">
      <c r="A119" s="1359"/>
      <c r="B119" s="1360"/>
      <c r="C119" s="1361"/>
      <c r="D119" s="1360"/>
      <c r="E119" s="1361"/>
      <c r="F119" s="1361"/>
      <c r="G119" s="1362"/>
    </row>
    <row r="120" spans="1:7" ht="21.95" customHeight="1">
      <c r="A120" s="1333" t="s">
        <v>2152</v>
      </c>
      <c r="B120" s="1334"/>
      <c r="C120" s="1363"/>
      <c r="D120" s="1334"/>
      <c r="E120" s="1363"/>
      <c r="F120" s="1364">
        <f>F107+F111+F113</f>
        <v>55058</v>
      </c>
      <c r="G120" s="1365"/>
    </row>
    <row r="121" spans="1:7" ht="21.95" customHeight="1">
      <c r="A121" s="1324" t="s">
        <v>561</v>
      </c>
      <c r="B121" s="1325"/>
      <c r="C121" s="1325"/>
      <c r="D121" s="1325"/>
      <c r="E121" s="1325"/>
      <c r="F121" s="1325"/>
      <c r="G121" s="1326"/>
    </row>
    <row r="122" spans="1:7" ht="21.95" customHeight="1">
      <c r="A122" s="1327"/>
      <c r="B122" s="1328"/>
      <c r="C122" s="1328"/>
      <c r="D122" s="1328"/>
      <c r="E122" s="1328"/>
      <c r="F122" s="1328"/>
      <c r="G122" s="1329"/>
    </row>
    <row r="123" spans="1:7" ht="21.95" customHeight="1">
      <c r="A123" s="1330" t="s">
        <v>562</v>
      </c>
      <c r="B123" s="1331"/>
      <c r="C123" s="1331"/>
      <c r="D123" s="1331"/>
      <c r="E123" s="1331"/>
      <c r="F123" s="1331"/>
      <c r="G123" s="1332"/>
    </row>
    <row r="124" spans="1:7" ht="21.95" customHeight="1">
      <c r="A124" s="1333" t="s">
        <v>137</v>
      </c>
      <c r="B124" s="1334" t="s">
        <v>541</v>
      </c>
      <c r="C124" s="1334" t="s">
        <v>2148</v>
      </c>
      <c r="D124" s="1334" t="s">
        <v>140</v>
      </c>
      <c r="E124" s="1334" t="s">
        <v>542</v>
      </c>
      <c r="F124" s="1334" t="s">
        <v>543</v>
      </c>
      <c r="G124" s="1335" t="s">
        <v>544</v>
      </c>
    </row>
    <row r="125" spans="1:7" ht="21.95" customHeight="1">
      <c r="A125" s="1336" t="s">
        <v>2149</v>
      </c>
      <c r="B125" s="1337" t="s">
        <v>545</v>
      </c>
      <c r="C125" s="1338">
        <v>9.3000000000000007</v>
      </c>
      <c r="D125" s="1337" t="s">
        <v>546</v>
      </c>
      <c r="E125" s="1339">
        <f ca="1">'테라토7-단가적용'!J10</f>
        <v>1322</v>
      </c>
      <c r="F125" s="1339">
        <f>ROUNDDOWN(C125*E125,0)</f>
        <v>12294</v>
      </c>
      <c r="G125" s="1340"/>
    </row>
    <row r="126" spans="1:7" ht="21.95" customHeight="1">
      <c r="A126" s="1341"/>
      <c r="B126" s="1342" t="s">
        <v>547</v>
      </c>
      <c r="C126" s="1343">
        <v>30</v>
      </c>
      <c r="D126" s="1342" t="s">
        <v>861</v>
      </c>
      <c r="E126" s="1344"/>
      <c r="F126" s="1344">
        <f>ROUNDDOWN(F125*35%,0)</f>
        <v>4302</v>
      </c>
      <c r="G126" s="1345"/>
    </row>
    <row r="127" spans="1:7" ht="21.95" customHeight="1">
      <c r="A127" s="1346"/>
      <c r="B127" s="1347" t="s">
        <v>1947</v>
      </c>
      <c r="C127" s="1348"/>
      <c r="D127" s="1347"/>
      <c r="E127" s="1348"/>
      <c r="F127" s="1349">
        <f>SUM(F125:F126)</f>
        <v>16596</v>
      </c>
      <c r="G127" s="1350"/>
    </row>
    <row r="128" spans="1:7" ht="21.95" customHeight="1">
      <c r="A128" s="1351" t="s">
        <v>2150</v>
      </c>
      <c r="B128" s="1369" t="s">
        <v>548</v>
      </c>
      <c r="C128" s="1353">
        <v>0.20830000000000001</v>
      </c>
      <c r="D128" s="1352" t="s">
        <v>1221</v>
      </c>
      <c r="E128" s="1354">
        <f ca="1">'테라토7-장비기준'!E11</f>
        <v>98693</v>
      </c>
      <c r="F128" s="1354">
        <f>ROUNDDOWN(C128*E128,0)</f>
        <v>20557</v>
      </c>
      <c r="G128" s="1355"/>
    </row>
    <row r="129" spans="1:7" ht="21.95" customHeight="1">
      <c r="A129" s="1341"/>
      <c r="B129" s="1342"/>
      <c r="C129" s="1356"/>
      <c r="D129" s="1342" t="s">
        <v>1221</v>
      </c>
      <c r="E129" s="1357"/>
      <c r="F129" s="1357">
        <f>ROUNDDOWN(C129*E129,0)</f>
        <v>0</v>
      </c>
      <c r="G129" s="1345"/>
    </row>
    <row r="130" spans="1:7" ht="21.95" customHeight="1">
      <c r="A130" s="1341"/>
      <c r="B130" s="1342"/>
      <c r="C130" s="1356"/>
      <c r="D130" s="1342" t="s">
        <v>1221</v>
      </c>
      <c r="E130" s="1357"/>
      <c r="F130" s="1357">
        <f>ROUNDDOWN(C130*E130,0)</f>
        <v>0</v>
      </c>
      <c r="G130" s="1345"/>
    </row>
    <row r="131" spans="1:7" ht="21.95" customHeight="1">
      <c r="A131" s="1346"/>
      <c r="B131" s="1347" t="s">
        <v>1947</v>
      </c>
      <c r="C131" s="1348"/>
      <c r="D131" s="1347"/>
      <c r="E131" s="1368"/>
      <c r="F131" s="1349">
        <f>SUM(F128:F130)</f>
        <v>20557</v>
      </c>
      <c r="G131" s="1350"/>
    </row>
    <row r="132" spans="1:7" ht="21.95" customHeight="1">
      <c r="A132" s="1351" t="s">
        <v>2207</v>
      </c>
      <c r="B132" s="1352" t="s">
        <v>2191</v>
      </c>
      <c r="C132" s="1353">
        <v>0.20449999999999999</v>
      </c>
      <c r="D132" s="1352"/>
      <c r="E132" s="1358">
        <v>38257</v>
      </c>
      <c r="F132" s="1358">
        <f>E132*C132</f>
        <v>7823.5564999999997</v>
      </c>
      <c r="G132" s="1355"/>
    </row>
    <row r="133" spans="1:7" ht="21.95" customHeight="1">
      <c r="A133" s="1346"/>
      <c r="B133" s="1347" t="s">
        <v>1947</v>
      </c>
      <c r="C133" s="1348"/>
      <c r="D133" s="1347"/>
      <c r="E133" s="1348"/>
      <c r="F133" s="1349">
        <f>SUM(F132)</f>
        <v>7823.5564999999997</v>
      </c>
      <c r="G133" s="1350"/>
    </row>
    <row r="134" spans="1:7" ht="21.95" customHeight="1">
      <c r="A134" s="1359"/>
      <c r="B134" s="1360"/>
      <c r="C134" s="1361"/>
      <c r="D134" s="1360"/>
      <c r="E134" s="1361"/>
      <c r="F134" s="1361"/>
      <c r="G134" s="1362"/>
    </row>
    <row r="135" spans="1:7" ht="21.95" customHeight="1">
      <c r="A135" s="1359"/>
      <c r="B135" s="1360"/>
      <c r="C135" s="1361"/>
      <c r="D135" s="1360"/>
      <c r="E135" s="1361"/>
      <c r="F135" s="1361"/>
      <c r="G135" s="1362"/>
    </row>
    <row r="136" spans="1:7" ht="21.95" customHeight="1">
      <c r="A136" s="1359"/>
      <c r="B136" s="1360"/>
      <c r="C136" s="1361"/>
      <c r="D136" s="1360"/>
      <c r="E136" s="1361"/>
      <c r="F136" s="1361"/>
      <c r="G136" s="1362"/>
    </row>
    <row r="137" spans="1:7" ht="21.95" customHeight="1">
      <c r="A137" s="1359"/>
      <c r="B137" s="1360"/>
      <c r="C137" s="1361"/>
      <c r="D137" s="1360"/>
      <c r="E137" s="1361"/>
      <c r="F137" s="1361"/>
      <c r="G137" s="1362"/>
    </row>
    <row r="138" spans="1:7" ht="21.95" customHeight="1">
      <c r="A138" s="1359"/>
      <c r="B138" s="1360"/>
      <c r="C138" s="1361"/>
      <c r="D138" s="1360"/>
      <c r="E138" s="1361"/>
      <c r="F138" s="1361"/>
      <c r="G138" s="1362"/>
    </row>
    <row r="139" spans="1:7" ht="21.95" customHeight="1">
      <c r="A139" s="1359"/>
      <c r="B139" s="1360"/>
      <c r="C139" s="1361"/>
      <c r="D139" s="1360"/>
      <c r="E139" s="1361"/>
      <c r="F139" s="1361"/>
      <c r="G139" s="1362"/>
    </row>
    <row r="140" spans="1:7" ht="21.95" customHeight="1">
      <c r="A140" s="1333" t="s">
        <v>2152</v>
      </c>
      <c r="B140" s="1334"/>
      <c r="C140" s="1363"/>
      <c r="D140" s="1334"/>
      <c r="E140" s="1363"/>
      <c r="F140" s="1364">
        <f>F127+F131+F133</f>
        <v>44976.556499999999</v>
      </c>
      <c r="G140" s="1365"/>
    </row>
    <row r="141" spans="1:7" ht="21.95" customHeight="1">
      <c r="A141" s="1324" t="s">
        <v>563</v>
      </c>
      <c r="B141" s="1325"/>
      <c r="C141" s="1325"/>
      <c r="D141" s="1325"/>
      <c r="E141" s="1325"/>
      <c r="F141" s="1325"/>
      <c r="G141" s="1326"/>
    </row>
    <row r="142" spans="1:7" ht="21.95" customHeight="1">
      <c r="A142" s="1327"/>
      <c r="B142" s="1328"/>
      <c r="C142" s="1328"/>
      <c r="D142" s="1328"/>
      <c r="E142" s="1328"/>
      <c r="F142" s="1328"/>
      <c r="G142" s="1329"/>
    </row>
    <row r="143" spans="1:7" ht="21.95" customHeight="1">
      <c r="A143" s="1330" t="s">
        <v>564</v>
      </c>
      <c r="B143" s="1331"/>
      <c r="C143" s="1331"/>
      <c r="D143" s="1331"/>
      <c r="E143" s="1331"/>
      <c r="F143" s="1331"/>
      <c r="G143" s="1332"/>
    </row>
    <row r="144" spans="1:7" ht="21.95" customHeight="1">
      <c r="A144" s="1333" t="s">
        <v>137</v>
      </c>
      <c r="B144" s="1334" t="s">
        <v>541</v>
      </c>
      <c r="C144" s="1334" t="s">
        <v>2148</v>
      </c>
      <c r="D144" s="1334" t="s">
        <v>140</v>
      </c>
      <c r="E144" s="1334" t="s">
        <v>542</v>
      </c>
      <c r="F144" s="1334" t="s">
        <v>543</v>
      </c>
      <c r="G144" s="1335" t="s">
        <v>544</v>
      </c>
    </row>
    <row r="145" spans="1:7" ht="21.95" customHeight="1">
      <c r="A145" s="1336" t="s">
        <v>2149</v>
      </c>
      <c r="B145" s="1337" t="s">
        <v>545</v>
      </c>
      <c r="C145" s="1338">
        <v>8</v>
      </c>
      <c r="D145" s="1337" t="s">
        <v>546</v>
      </c>
      <c r="E145" s="1339">
        <f ca="1">'테라토7-단가적용'!J10</f>
        <v>1322</v>
      </c>
      <c r="F145" s="1339">
        <f>ROUNDDOWN(C145*E145,0)</f>
        <v>10576</v>
      </c>
      <c r="G145" s="1340"/>
    </row>
    <row r="146" spans="1:7" ht="21.95" customHeight="1">
      <c r="A146" s="1341"/>
      <c r="B146" s="1342" t="s">
        <v>547</v>
      </c>
      <c r="C146" s="1343">
        <v>38</v>
      </c>
      <c r="D146" s="1342" t="s">
        <v>861</v>
      </c>
      <c r="E146" s="1344"/>
      <c r="F146" s="1344">
        <f>ROUNDDOWN(F145*42%,0)</f>
        <v>4441</v>
      </c>
      <c r="G146" s="1345"/>
    </row>
    <row r="147" spans="1:7" ht="21.95" customHeight="1">
      <c r="A147" s="1346"/>
      <c r="B147" s="1347" t="s">
        <v>1947</v>
      </c>
      <c r="C147" s="1348"/>
      <c r="D147" s="1347"/>
      <c r="E147" s="1348"/>
      <c r="F147" s="1349">
        <f>SUM(F145:F146)</f>
        <v>15017</v>
      </c>
      <c r="G147" s="1350"/>
    </row>
    <row r="148" spans="1:7" ht="21.95" customHeight="1">
      <c r="A148" s="1351" t="s">
        <v>2150</v>
      </c>
      <c r="B148" s="1369" t="s">
        <v>548</v>
      </c>
      <c r="C148" s="1353">
        <v>0.20830000000000001</v>
      </c>
      <c r="D148" s="1352" t="s">
        <v>1221</v>
      </c>
      <c r="E148" s="1354">
        <f ca="1">'테라토7-장비기준'!E11</f>
        <v>98693</v>
      </c>
      <c r="F148" s="1354">
        <f>ROUNDDOWN(C148*E148,0)</f>
        <v>20557</v>
      </c>
      <c r="G148" s="1355"/>
    </row>
    <row r="149" spans="1:7" ht="21.95" customHeight="1">
      <c r="A149" s="1341"/>
      <c r="B149" s="1342"/>
      <c r="C149" s="1356"/>
      <c r="D149" s="1342" t="s">
        <v>1221</v>
      </c>
      <c r="E149" s="1357"/>
      <c r="F149" s="1357">
        <f>ROUNDDOWN(C149*E149,0)</f>
        <v>0</v>
      </c>
      <c r="G149" s="1345"/>
    </row>
    <row r="150" spans="1:7" ht="21.95" customHeight="1">
      <c r="A150" s="1341"/>
      <c r="B150" s="1342"/>
      <c r="C150" s="1356"/>
      <c r="D150" s="1342" t="s">
        <v>1221</v>
      </c>
      <c r="E150" s="1357"/>
      <c r="F150" s="1357">
        <f>ROUNDDOWN(C150*E150,0)</f>
        <v>0</v>
      </c>
      <c r="G150" s="1345"/>
    </row>
    <row r="151" spans="1:7" ht="21.95" customHeight="1">
      <c r="A151" s="1346"/>
      <c r="B151" s="1347" t="s">
        <v>1947</v>
      </c>
      <c r="C151" s="1348"/>
      <c r="D151" s="1347"/>
      <c r="E151" s="1368"/>
      <c r="F151" s="1349">
        <f>SUM(F148:F150)</f>
        <v>20557</v>
      </c>
      <c r="G151" s="1350"/>
    </row>
    <row r="152" spans="1:7" ht="21.95" customHeight="1">
      <c r="A152" s="1351" t="s">
        <v>2207</v>
      </c>
      <c r="B152" s="1352" t="s">
        <v>2191</v>
      </c>
      <c r="C152" s="1353">
        <v>0.29010000000000002</v>
      </c>
      <c r="D152" s="1352"/>
      <c r="E152" s="1358">
        <v>21089</v>
      </c>
      <c r="F152" s="1358">
        <f>E152*C152</f>
        <v>6117.9189000000006</v>
      </c>
      <c r="G152" s="1355"/>
    </row>
    <row r="153" spans="1:7" ht="21.95" customHeight="1">
      <c r="A153" s="1346"/>
      <c r="B153" s="1347" t="s">
        <v>1947</v>
      </c>
      <c r="C153" s="1348"/>
      <c r="D153" s="1347"/>
      <c r="E153" s="1348"/>
      <c r="F153" s="1349">
        <f>SUM(F152)</f>
        <v>6117.9189000000006</v>
      </c>
      <c r="G153" s="1350"/>
    </row>
    <row r="154" spans="1:7" ht="21.95" customHeight="1">
      <c r="A154" s="1359"/>
      <c r="B154" s="1360"/>
      <c r="C154" s="1361"/>
      <c r="D154" s="1360"/>
      <c r="E154" s="1361"/>
      <c r="F154" s="1361"/>
      <c r="G154" s="1362"/>
    </row>
    <row r="155" spans="1:7" ht="21.95" customHeight="1">
      <c r="A155" s="1359"/>
      <c r="B155" s="1360"/>
      <c r="C155" s="1361"/>
      <c r="D155" s="1360"/>
      <c r="E155" s="1361"/>
      <c r="F155" s="1361"/>
      <c r="G155" s="1362"/>
    </row>
    <row r="156" spans="1:7" ht="21.95" customHeight="1">
      <c r="A156" s="1359"/>
      <c r="B156" s="1360"/>
      <c r="C156" s="1361"/>
      <c r="D156" s="1360"/>
      <c r="E156" s="1361"/>
      <c r="F156" s="1361"/>
      <c r="G156" s="1362"/>
    </row>
    <row r="157" spans="1:7" ht="21.95" customHeight="1">
      <c r="A157" s="1359"/>
      <c r="B157" s="1360"/>
      <c r="C157" s="1361"/>
      <c r="D157" s="1360"/>
      <c r="E157" s="1361"/>
      <c r="F157" s="1361"/>
      <c r="G157" s="1362"/>
    </row>
    <row r="158" spans="1:7" ht="21.95" customHeight="1">
      <c r="A158" s="1359"/>
      <c r="B158" s="1360"/>
      <c r="C158" s="1361"/>
      <c r="D158" s="1360"/>
      <c r="E158" s="1361"/>
      <c r="F158" s="1361"/>
      <c r="G158" s="1362"/>
    </row>
    <row r="159" spans="1:7" ht="21.95" customHeight="1">
      <c r="A159" s="1359"/>
      <c r="B159" s="1360"/>
      <c r="C159" s="1361"/>
      <c r="D159" s="1360"/>
      <c r="E159" s="1361"/>
      <c r="F159" s="1361"/>
      <c r="G159" s="1362"/>
    </row>
    <row r="160" spans="1:7" ht="21.95" customHeight="1">
      <c r="A160" s="1333" t="s">
        <v>2152</v>
      </c>
      <c r="B160" s="1334"/>
      <c r="C160" s="1363"/>
      <c r="D160" s="1334"/>
      <c r="E160" s="1363"/>
      <c r="F160" s="1364">
        <f>F147+F151+F153</f>
        <v>41691.918900000004</v>
      </c>
      <c r="G160" s="1365"/>
    </row>
    <row r="161" spans="1:7" ht="21.95" customHeight="1">
      <c r="A161" s="1324" t="s">
        <v>565</v>
      </c>
      <c r="B161" s="1325"/>
      <c r="C161" s="1325"/>
      <c r="D161" s="1325"/>
      <c r="E161" s="1325"/>
      <c r="F161" s="1325"/>
      <c r="G161" s="1326"/>
    </row>
    <row r="162" spans="1:7" ht="21.95" customHeight="1">
      <c r="A162" s="1327"/>
      <c r="B162" s="1328"/>
      <c r="C162" s="1328"/>
      <c r="D162" s="1328"/>
      <c r="E162" s="1328"/>
      <c r="F162" s="1328"/>
      <c r="G162" s="1329"/>
    </row>
    <row r="163" spans="1:7" ht="21.95" customHeight="1">
      <c r="A163" s="1330" t="s">
        <v>566</v>
      </c>
      <c r="B163" s="1331"/>
      <c r="C163" s="1331"/>
      <c r="D163" s="1331"/>
      <c r="E163" s="1331"/>
      <c r="F163" s="1331"/>
      <c r="G163" s="1332"/>
    </row>
    <row r="164" spans="1:7" ht="21.95" customHeight="1">
      <c r="A164" s="1333" t="s">
        <v>137</v>
      </c>
      <c r="B164" s="1334" t="s">
        <v>541</v>
      </c>
      <c r="C164" s="1334" t="s">
        <v>2148</v>
      </c>
      <c r="D164" s="1334" t="s">
        <v>140</v>
      </c>
      <c r="E164" s="1334" t="s">
        <v>542</v>
      </c>
      <c r="F164" s="1334" t="s">
        <v>543</v>
      </c>
      <c r="G164" s="1335" t="s">
        <v>544</v>
      </c>
    </row>
    <row r="165" spans="1:7" ht="21.95" customHeight="1">
      <c r="A165" s="1336" t="s">
        <v>2149</v>
      </c>
      <c r="B165" s="1337" t="s">
        <v>545</v>
      </c>
      <c r="C165" s="1338"/>
      <c r="D165" s="1337"/>
      <c r="E165" s="1339"/>
      <c r="F165" s="1339"/>
      <c r="G165" s="1340"/>
    </row>
    <row r="166" spans="1:7" ht="21.95" customHeight="1">
      <c r="A166" s="1341"/>
      <c r="B166" s="1370" t="s">
        <v>567</v>
      </c>
      <c r="C166" s="1370">
        <v>1.87</v>
      </c>
      <c r="D166" s="1370" t="s">
        <v>568</v>
      </c>
      <c r="E166" s="1344">
        <v>55</v>
      </c>
      <c r="F166" s="1344">
        <f>E166*C166</f>
        <v>102.85000000000001</v>
      </c>
      <c r="G166" s="1345"/>
    </row>
    <row r="167" spans="1:7" ht="21.95" customHeight="1">
      <c r="A167" s="1346"/>
      <c r="B167" s="1347" t="s">
        <v>1947</v>
      </c>
      <c r="C167" s="1348"/>
      <c r="D167" s="1347"/>
      <c r="E167" s="1348"/>
      <c r="F167" s="1349">
        <f>SUM(F165:F166)</f>
        <v>102.85000000000001</v>
      </c>
      <c r="G167" s="1350"/>
    </row>
    <row r="168" spans="1:7" ht="21.95" customHeight="1">
      <c r="A168" s="1351" t="s">
        <v>2150</v>
      </c>
      <c r="B168" s="1369" t="s">
        <v>569</v>
      </c>
      <c r="C168" s="1353">
        <v>0.1208</v>
      </c>
      <c r="D168" s="1352" t="s">
        <v>1221</v>
      </c>
      <c r="E168" s="1354">
        <f ca="1">'테라토7-장비기준'!E14</f>
        <v>84942</v>
      </c>
      <c r="F168" s="1354">
        <f>ROUNDDOWN(C168*E168,0)</f>
        <v>10260</v>
      </c>
      <c r="G168" s="1355"/>
    </row>
    <row r="169" spans="1:7" ht="21.95" customHeight="1">
      <c r="A169" s="1341"/>
      <c r="B169" s="1342"/>
      <c r="C169" s="1356"/>
      <c r="D169" s="1342" t="s">
        <v>1221</v>
      </c>
      <c r="E169" s="1357"/>
      <c r="F169" s="1357">
        <f>ROUNDDOWN(C169*E169,0)</f>
        <v>0</v>
      </c>
      <c r="G169" s="1345"/>
    </row>
    <row r="170" spans="1:7" ht="21.95" customHeight="1">
      <c r="A170" s="1341"/>
      <c r="B170" s="1342"/>
      <c r="C170" s="1356"/>
      <c r="D170" s="1342" t="s">
        <v>1221</v>
      </c>
      <c r="E170" s="1357"/>
      <c r="F170" s="1357">
        <f>ROUNDDOWN(C170*E170,0)</f>
        <v>0</v>
      </c>
      <c r="G170" s="1345"/>
    </row>
    <row r="171" spans="1:7" ht="21.95" customHeight="1">
      <c r="A171" s="1346"/>
      <c r="B171" s="1347" t="s">
        <v>1947</v>
      </c>
      <c r="C171" s="1348"/>
      <c r="D171" s="1347"/>
      <c r="E171" s="1368"/>
      <c r="F171" s="1349">
        <f>SUM(F168:F170)</f>
        <v>10260</v>
      </c>
      <c r="G171" s="1350"/>
    </row>
    <row r="172" spans="1:7" ht="21.95" customHeight="1">
      <c r="A172" s="1351" t="s">
        <v>2207</v>
      </c>
      <c r="B172" s="1352" t="s">
        <v>2191</v>
      </c>
      <c r="C172" s="1353">
        <v>0.15329999999999999</v>
      </c>
      <c r="D172" s="1352"/>
      <c r="E172" s="1358">
        <v>21000</v>
      </c>
      <c r="F172" s="1358">
        <f>E172*C172</f>
        <v>3219.2999999999997</v>
      </c>
      <c r="G172" s="1355"/>
    </row>
    <row r="173" spans="1:7" ht="21.95" customHeight="1">
      <c r="A173" s="1346"/>
      <c r="B173" s="1347" t="s">
        <v>1947</v>
      </c>
      <c r="C173" s="1348"/>
      <c r="D173" s="1347"/>
      <c r="E173" s="1348"/>
      <c r="F173" s="1349">
        <f>SUM(F172)</f>
        <v>3219.2999999999997</v>
      </c>
      <c r="G173" s="1350"/>
    </row>
    <row r="174" spans="1:7" ht="21.95" customHeight="1">
      <c r="A174" s="1359"/>
      <c r="B174" s="1360"/>
      <c r="C174" s="1361"/>
      <c r="D174" s="1360"/>
      <c r="E174" s="1361"/>
      <c r="F174" s="1361"/>
      <c r="G174" s="1362"/>
    </row>
    <row r="175" spans="1:7" ht="21.95" customHeight="1">
      <c r="A175" s="1359"/>
      <c r="B175" s="1360"/>
      <c r="C175" s="1361"/>
      <c r="D175" s="1360"/>
      <c r="E175" s="1361"/>
      <c r="F175" s="1361"/>
      <c r="G175" s="1362"/>
    </row>
    <row r="176" spans="1:7" ht="21.95" customHeight="1">
      <c r="A176" s="1359"/>
      <c r="B176" s="1360"/>
      <c r="C176" s="1361"/>
      <c r="D176" s="1360"/>
      <c r="E176" s="1361"/>
      <c r="F176" s="1361"/>
      <c r="G176" s="1362"/>
    </row>
    <row r="177" spans="1:7" ht="21.95" customHeight="1">
      <c r="A177" s="1359"/>
      <c r="B177" s="1360"/>
      <c r="C177" s="1361"/>
      <c r="D177" s="1360"/>
      <c r="E177" s="1361"/>
      <c r="F177" s="1361"/>
      <c r="G177" s="1362"/>
    </row>
    <row r="178" spans="1:7" ht="21.95" customHeight="1">
      <c r="A178" s="1359"/>
      <c r="B178" s="1360"/>
      <c r="C178" s="1361"/>
      <c r="D178" s="1360"/>
      <c r="E178" s="1361"/>
      <c r="F178" s="1361"/>
      <c r="G178" s="1362"/>
    </row>
    <row r="179" spans="1:7" ht="21.95" customHeight="1">
      <c r="A179" s="1359"/>
      <c r="B179" s="1360"/>
      <c r="C179" s="1361"/>
      <c r="D179" s="1360"/>
      <c r="E179" s="1361"/>
      <c r="F179" s="1361"/>
      <c r="G179" s="1362"/>
    </row>
    <row r="180" spans="1:7" ht="21.95" customHeight="1">
      <c r="A180" s="1333" t="s">
        <v>2152</v>
      </c>
      <c r="B180" s="1334"/>
      <c r="C180" s="1363"/>
      <c r="D180" s="1334"/>
      <c r="E180" s="1363"/>
      <c r="F180" s="1364">
        <f>F167+F171+F173</f>
        <v>13582.15</v>
      </c>
      <c r="G180" s="1365"/>
    </row>
  </sheetData>
  <phoneticPr fontId="116" type="noConversion"/>
  <pageMargins left="0.87" right="0.75" top="1" bottom="1" header="0.5" footer="0.5"/>
  <pageSetup paperSize="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A6" sqref="A6:F6"/>
    </sheetView>
  </sheetViews>
  <sheetFormatPr defaultColWidth="8" defaultRowHeight="13.5"/>
  <cols>
    <col min="1" max="1" width="8" style="1417"/>
    <col min="2" max="2" width="10" style="1417" customWidth="1"/>
    <col min="3" max="3" width="15.5546875" style="1417" customWidth="1"/>
    <col min="4" max="4" width="2.88671875" style="1417" bestFit="1" customWidth="1"/>
    <col min="5" max="5" width="8.33203125" style="1417" bestFit="1" customWidth="1"/>
    <col min="6" max="6" width="2.88671875" style="1417" bestFit="1" customWidth="1"/>
    <col min="7" max="7" width="5" style="1417" customWidth="1"/>
    <col min="8" max="8" width="2.109375" style="1417" bestFit="1" customWidth="1"/>
    <col min="9" max="9" width="5" style="1417" customWidth="1"/>
    <col min="10" max="10" width="2.109375" style="1417" bestFit="1" customWidth="1"/>
    <col min="11" max="11" width="5" style="1417" customWidth="1"/>
    <col min="12" max="12" width="2.109375" style="1417" bestFit="1" customWidth="1"/>
    <col min="13" max="13" width="5" style="1417" customWidth="1"/>
    <col min="14" max="14" width="2.109375" style="1417" bestFit="1" customWidth="1"/>
    <col min="15" max="15" width="5" style="1417" customWidth="1"/>
    <col min="16" max="16" width="2.109375" style="1417" bestFit="1" customWidth="1"/>
    <col min="17" max="17" width="5" style="1417" customWidth="1"/>
    <col min="18" max="18" width="2.109375" style="1417" bestFit="1" customWidth="1"/>
    <col min="19" max="19" width="9.77734375" style="1417" customWidth="1"/>
    <col min="20" max="20" width="8" style="1417"/>
    <col min="21" max="21" width="9.44140625" style="1417" customWidth="1"/>
    <col min="22" max="16384" width="8" style="1417"/>
  </cols>
  <sheetData>
    <row r="1" spans="1:21" ht="24.95" customHeight="1">
      <c r="A1" s="1442"/>
      <c r="B1" s="1443"/>
      <c r="C1" s="1443"/>
      <c r="D1" s="1443"/>
      <c r="E1" s="1443"/>
      <c r="F1" s="1443"/>
      <c r="G1" s="1443"/>
      <c r="H1" s="1443"/>
      <c r="I1" s="1443"/>
      <c r="J1" s="1443"/>
      <c r="K1" s="1443"/>
      <c r="L1" s="1443"/>
      <c r="M1" s="1443"/>
      <c r="N1" s="1443"/>
      <c r="O1" s="1443"/>
      <c r="P1" s="1443"/>
      <c r="Q1" s="1443"/>
      <c r="R1" s="1443"/>
      <c r="S1" s="1443"/>
      <c r="T1" s="1443"/>
      <c r="U1" s="1444"/>
    </row>
    <row r="2" spans="1:21" ht="24.95" customHeight="1">
      <c r="A2" s="1640" t="s">
        <v>570</v>
      </c>
      <c r="B2" s="1641"/>
      <c r="C2" s="1641"/>
      <c r="D2" s="1641"/>
      <c r="E2" s="1641"/>
      <c r="F2" s="1641"/>
      <c r="G2" s="1641"/>
      <c r="H2" s="1641"/>
      <c r="I2" s="1641"/>
      <c r="J2" s="1641"/>
      <c r="K2" s="1641"/>
      <c r="L2" s="1641"/>
      <c r="M2" s="1641"/>
      <c r="N2" s="1641"/>
      <c r="O2" s="1641"/>
      <c r="P2" s="1641"/>
      <c r="Q2" s="1641"/>
      <c r="R2" s="1641"/>
      <c r="S2" s="1641"/>
      <c r="T2" s="1641"/>
      <c r="U2" s="1642"/>
    </row>
    <row r="3" spans="1:21" ht="24.95" customHeight="1">
      <c r="A3" s="1375"/>
      <c r="B3" s="1376"/>
      <c r="C3" s="1376"/>
      <c r="D3" s="1374"/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76"/>
      <c r="S3" s="1376"/>
      <c r="T3" s="1376"/>
      <c r="U3" s="1377"/>
    </row>
    <row r="4" spans="1:21" ht="24.95" customHeight="1">
      <c r="A4" s="1375"/>
      <c r="B4" s="1376" t="s">
        <v>571</v>
      </c>
      <c r="C4" s="1376"/>
      <c r="D4" s="1374"/>
      <c r="E4" s="1376"/>
      <c r="F4" s="1376"/>
      <c r="G4" s="1376"/>
      <c r="H4" s="1376"/>
      <c r="I4" s="1376"/>
      <c r="J4" s="1376"/>
      <c r="K4" s="1376"/>
      <c r="L4" s="1376"/>
      <c r="M4" s="1376"/>
      <c r="N4" s="1376"/>
      <c r="O4" s="1376"/>
      <c r="P4" s="1376"/>
      <c r="Q4" s="1376"/>
      <c r="R4" s="1376"/>
      <c r="S4" s="1376"/>
      <c r="T4" s="1376"/>
      <c r="U4" s="1377"/>
    </row>
    <row r="5" spans="1:21" ht="24.95" customHeight="1">
      <c r="A5" s="1375"/>
      <c r="B5" s="1376"/>
      <c r="C5" s="1376" t="s">
        <v>572</v>
      </c>
      <c r="D5" s="1374" t="s">
        <v>573</v>
      </c>
      <c r="E5" s="1378">
        <v>1380</v>
      </c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6"/>
      <c r="S5" s="1376"/>
      <c r="T5" s="1376"/>
      <c r="U5" s="1377"/>
    </row>
    <row r="6" spans="1:21" ht="24.95" customHeight="1">
      <c r="A6" s="1375"/>
      <c r="B6" s="1376"/>
      <c r="C6" s="1376"/>
      <c r="D6" s="1374"/>
      <c r="E6" s="1376"/>
      <c r="F6" s="1376"/>
      <c r="G6" s="1376"/>
      <c r="H6" s="1376"/>
      <c r="I6" s="1376"/>
      <c r="J6" s="1376"/>
      <c r="K6" s="1376"/>
      <c r="L6" s="1376"/>
      <c r="M6" s="1376"/>
      <c r="N6" s="1376"/>
      <c r="O6" s="1376"/>
      <c r="P6" s="1376"/>
      <c r="Q6" s="1376"/>
      <c r="R6" s="1376"/>
      <c r="S6" s="1376"/>
      <c r="T6" s="1376"/>
      <c r="U6" s="1377"/>
    </row>
    <row r="7" spans="1:21" ht="24.95" customHeight="1">
      <c r="A7" s="1375"/>
      <c r="B7" s="1376" t="s">
        <v>574</v>
      </c>
      <c r="C7" s="1376"/>
      <c r="D7" s="1374"/>
      <c r="E7" s="1376"/>
      <c r="F7" s="1376"/>
      <c r="G7" s="1376"/>
      <c r="H7" s="1376"/>
      <c r="I7" s="1376"/>
      <c r="J7" s="1376"/>
      <c r="K7" s="1376"/>
      <c r="L7" s="1376"/>
      <c r="M7" s="1376"/>
      <c r="N7" s="1376"/>
      <c r="O7" s="1376"/>
      <c r="P7" s="1376"/>
      <c r="Q7" s="1376"/>
      <c r="R7" s="1376"/>
      <c r="S7" s="1376"/>
      <c r="T7" s="1376"/>
      <c r="U7" s="1377"/>
    </row>
    <row r="8" spans="1:21" ht="24.95" customHeight="1">
      <c r="A8" s="1375"/>
      <c r="B8" s="1376"/>
      <c r="C8" s="1376" t="s">
        <v>575</v>
      </c>
      <c r="D8" s="1374" t="s">
        <v>1733</v>
      </c>
      <c r="E8" s="1379">
        <f ca="1">'테라토7-단가적용'!J10</f>
        <v>1322</v>
      </c>
      <c r="F8" s="1374" t="s">
        <v>119</v>
      </c>
      <c r="G8" s="1376"/>
      <c r="H8" s="1376"/>
      <c r="I8" s="1376"/>
      <c r="J8" s="1376"/>
      <c r="K8" s="1376"/>
      <c r="L8" s="1376"/>
      <c r="M8" s="1376"/>
      <c r="N8" s="1376"/>
      <c r="O8" s="1376"/>
      <c r="P8" s="1376"/>
      <c r="Q8" s="1376"/>
      <c r="R8" s="1376"/>
      <c r="S8" s="1376"/>
      <c r="T8" s="1376"/>
      <c r="U8" s="1377"/>
    </row>
    <row r="9" spans="1:21" ht="24.95" customHeight="1">
      <c r="A9" s="1375"/>
      <c r="B9" s="1376"/>
      <c r="C9" s="1376"/>
      <c r="D9" s="1374"/>
      <c r="E9" s="1379"/>
      <c r="F9" s="1374"/>
      <c r="G9" s="1376"/>
      <c r="H9" s="1376"/>
      <c r="I9" s="1376"/>
      <c r="J9" s="1376"/>
      <c r="K9" s="1376"/>
      <c r="L9" s="1376"/>
      <c r="M9" s="1376"/>
      <c r="N9" s="1376"/>
      <c r="O9" s="1376"/>
      <c r="P9" s="1376"/>
      <c r="Q9" s="1376"/>
      <c r="R9" s="1376"/>
      <c r="S9" s="1376"/>
      <c r="T9" s="1376"/>
      <c r="U9" s="1377"/>
    </row>
    <row r="10" spans="1:21" ht="24.95" customHeight="1">
      <c r="A10" s="1375"/>
      <c r="B10" s="1376" t="s">
        <v>576</v>
      </c>
      <c r="C10" s="1376"/>
      <c r="D10" s="1374"/>
      <c r="E10" s="1376"/>
      <c r="F10" s="1376"/>
      <c r="G10" s="1376"/>
      <c r="H10" s="1376"/>
      <c r="I10" s="1376"/>
      <c r="J10" s="1376"/>
      <c r="K10" s="1376"/>
      <c r="L10" s="1376"/>
      <c r="M10" s="1376"/>
      <c r="N10" s="1376"/>
      <c r="O10" s="1376"/>
      <c r="P10" s="1376"/>
      <c r="Q10" s="1376"/>
      <c r="R10" s="1376"/>
      <c r="S10" s="1376"/>
      <c r="T10" s="1376"/>
      <c r="U10" s="1377"/>
    </row>
    <row r="11" spans="1:21" ht="24.95" customHeight="1">
      <c r="A11" s="1375"/>
      <c r="B11" s="1376"/>
      <c r="C11" s="1376" t="s">
        <v>548</v>
      </c>
      <c r="D11" s="1374" t="s">
        <v>1733</v>
      </c>
      <c r="E11" s="1380">
        <f ca="1">'테라토7-단가적용'!J17</f>
        <v>98693</v>
      </c>
      <c r="F11" s="1374" t="s">
        <v>1071</v>
      </c>
      <c r="G11" s="1374">
        <v>16</v>
      </c>
      <c r="H11" s="1374" t="s">
        <v>1048</v>
      </c>
      <c r="I11" s="1374">
        <v>12</v>
      </c>
      <c r="J11" s="1374" t="s">
        <v>1071</v>
      </c>
      <c r="K11" s="1374">
        <v>1</v>
      </c>
      <c r="L11" s="1374" t="s">
        <v>1048</v>
      </c>
      <c r="M11" s="1374">
        <v>8</v>
      </c>
      <c r="N11" s="1374" t="s">
        <v>1071</v>
      </c>
      <c r="O11" s="1374">
        <v>25</v>
      </c>
      <c r="P11" s="1374" t="s">
        <v>1048</v>
      </c>
      <c r="Q11" s="1374">
        <v>20</v>
      </c>
      <c r="R11" s="1374" t="s">
        <v>1052</v>
      </c>
      <c r="S11" s="1380">
        <f>ROUNDDOWN(E11*G11/I11*1/8*25/20,0)</f>
        <v>20561</v>
      </c>
      <c r="T11" s="1376"/>
      <c r="U11" s="1377"/>
    </row>
    <row r="12" spans="1:21" ht="24.95" customHeight="1">
      <c r="A12" s="1375"/>
      <c r="B12" s="1376"/>
      <c r="C12" s="1376" t="s">
        <v>549</v>
      </c>
      <c r="D12" s="1374" t="s">
        <v>1733</v>
      </c>
      <c r="E12" s="1380">
        <f ca="1">'테라토7-단가적용'!J19</f>
        <v>55282</v>
      </c>
      <c r="F12" s="1374" t="s">
        <v>1071</v>
      </c>
      <c r="G12" s="1374">
        <v>16</v>
      </c>
      <c r="H12" s="1374" t="s">
        <v>1048</v>
      </c>
      <c r="I12" s="1374">
        <v>12</v>
      </c>
      <c r="J12" s="1374" t="s">
        <v>1071</v>
      </c>
      <c r="K12" s="1374">
        <v>1</v>
      </c>
      <c r="L12" s="1374" t="s">
        <v>1048</v>
      </c>
      <c r="M12" s="1374">
        <v>8</v>
      </c>
      <c r="N12" s="1374" t="s">
        <v>1071</v>
      </c>
      <c r="O12" s="1374">
        <v>25</v>
      </c>
      <c r="P12" s="1374" t="s">
        <v>1048</v>
      </c>
      <c r="Q12" s="1374">
        <v>20</v>
      </c>
      <c r="R12" s="1374" t="s">
        <v>1052</v>
      </c>
      <c r="S12" s="1380">
        <f>ROUNDDOWN(E12*G12/I12*1/8*25/20,0)</f>
        <v>11517</v>
      </c>
      <c r="T12" s="1376"/>
      <c r="U12" s="1377"/>
    </row>
    <row r="13" spans="1:21" ht="24.95" customHeight="1">
      <c r="A13" s="1375"/>
      <c r="B13" s="1376"/>
      <c r="C13" s="1376" t="s">
        <v>550</v>
      </c>
      <c r="D13" s="1374" t="s">
        <v>1733</v>
      </c>
      <c r="E13" s="1380">
        <f ca="1">'테라토7-단가적용'!J18</f>
        <v>94350</v>
      </c>
      <c r="F13" s="1374" t="s">
        <v>1071</v>
      </c>
      <c r="G13" s="1374">
        <v>16</v>
      </c>
      <c r="H13" s="1374" t="s">
        <v>1048</v>
      </c>
      <c r="I13" s="1374">
        <v>12</v>
      </c>
      <c r="J13" s="1374" t="s">
        <v>1071</v>
      </c>
      <c r="K13" s="1374">
        <v>1</v>
      </c>
      <c r="L13" s="1374" t="s">
        <v>1048</v>
      </c>
      <c r="M13" s="1374">
        <v>8</v>
      </c>
      <c r="N13" s="1374" t="s">
        <v>1071</v>
      </c>
      <c r="O13" s="1374">
        <v>25</v>
      </c>
      <c r="P13" s="1374" t="s">
        <v>1048</v>
      </c>
      <c r="Q13" s="1374">
        <v>20</v>
      </c>
      <c r="R13" s="1374" t="s">
        <v>1052</v>
      </c>
      <c r="S13" s="1380">
        <f>ROUNDDOWN(E13*G13/I13*1/8*25/20,0)</f>
        <v>19656</v>
      </c>
      <c r="T13" s="1376"/>
      <c r="U13" s="1377"/>
    </row>
    <row r="14" spans="1:21" ht="24.95" customHeight="1">
      <c r="A14" s="1375"/>
      <c r="B14" s="1376"/>
      <c r="C14" s="1376" t="s">
        <v>577</v>
      </c>
      <c r="D14" s="1374" t="s">
        <v>1733</v>
      </c>
      <c r="E14" s="1381">
        <f ca="1">'테라토7-단가적용'!J20</f>
        <v>84942</v>
      </c>
      <c r="F14" s="1374" t="s">
        <v>1071</v>
      </c>
      <c r="G14" s="1374">
        <v>16</v>
      </c>
      <c r="H14" s="1374" t="s">
        <v>1048</v>
      </c>
      <c r="I14" s="1374">
        <v>12</v>
      </c>
      <c r="J14" s="1374" t="s">
        <v>1071</v>
      </c>
      <c r="K14" s="1374">
        <v>1</v>
      </c>
      <c r="L14" s="1374" t="s">
        <v>1048</v>
      </c>
      <c r="M14" s="1374">
        <v>8</v>
      </c>
      <c r="N14" s="1374" t="s">
        <v>1071</v>
      </c>
      <c r="O14" s="1374">
        <v>25</v>
      </c>
      <c r="P14" s="1374" t="s">
        <v>1048</v>
      </c>
      <c r="Q14" s="1374">
        <v>20</v>
      </c>
      <c r="R14" s="1374" t="s">
        <v>1052</v>
      </c>
      <c r="S14" s="1380">
        <f>ROUNDDOWN(E14*G14/I14*1/8*25/20,0)</f>
        <v>17696</v>
      </c>
      <c r="T14" s="1376"/>
      <c r="U14" s="1377"/>
    </row>
    <row r="15" spans="1:21" ht="24.95" customHeight="1">
      <c r="A15" s="1375"/>
      <c r="B15" s="1376"/>
      <c r="C15" s="1376"/>
      <c r="D15" s="1374"/>
      <c r="E15" s="1376"/>
      <c r="F15" s="1376"/>
      <c r="G15" s="1376"/>
      <c r="H15" s="1376"/>
      <c r="I15" s="1376"/>
      <c r="J15" s="1376"/>
      <c r="K15" s="1376"/>
      <c r="L15" s="1376"/>
      <c r="M15" s="1376"/>
      <c r="N15" s="1376"/>
      <c r="O15" s="1376"/>
      <c r="P15" s="1376"/>
      <c r="Q15" s="1376"/>
      <c r="R15" s="1376"/>
      <c r="S15" s="1376"/>
      <c r="T15" s="1376"/>
      <c r="U15" s="1377"/>
    </row>
    <row r="16" spans="1:21" ht="24.95" customHeight="1">
      <c r="A16" s="1375"/>
      <c r="B16" s="1376"/>
      <c r="C16" s="1376"/>
      <c r="D16" s="1374"/>
      <c r="E16" s="1376"/>
      <c r="F16" s="1376"/>
      <c r="G16" s="1376"/>
      <c r="H16" s="1376"/>
      <c r="I16" s="1376"/>
      <c r="J16" s="1376"/>
      <c r="K16" s="1376"/>
      <c r="L16" s="1376"/>
      <c r="M16" s="1376"/>
      <c r="N16" s="1376"/>
      <c r="O16" s="1376"/>
      <c r="P16" s="1376"/>
      <c r="Q16" s="1376"/>
      <c r="R16" s="1376"/>
      <c r="S16" s="1376"/>
      <c r="T16" s="1376"/>
      <c r="U16" s="1377"/>
    </row>
    <row r="17" spans="1:21" ht="38.25" customHeight="1">
      <c r="A17" s="1382"/>
      <c r="B17" s="1383"/>
      <c r="C17" s="1383"/>
      <c r="D17" s="1384"/>
      <c r="E17" s="1383"/>
      <c r="F17" s="1383"/>
      <c r="G17" s="1383"/>
      <c r="H17" s="1383"/>
      <c r="I17" s="1383"/>
      <c r="J17" s="1383"/>
      <c r="K17" s="1383"/>
      <c r="L17" s="1383"/>
      <c r="M17" s="1383"/>
      <c r="N17" s="1383"/>
      <c r="O17" s="1383"/>
      <c r="P17" s="1383"/>
      <c r="Q17" s="1383"/>
      <c r="R17" s="1383"/>
      <c r="S17" s="1383"/>
      <c r="T17" s="1383"/>
      <c r="U17" s="1385"/>
    </row>
  </sheetData>
  <mergeCells count="1">
    <mergeCell ref="A2:U2"/>
  </mergeCells>
  <phoneticPr fontId="116" type="noConversion"/>
  <pageMargins left="0.77" right="0.75" top="1.03" bottom="1" header="0.5" footer="0.5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F6"/>
    </sheetView>
  </sheetViews>
  <sheetFormatPr defaultColWidth="8" defaultRowHeight="13.5"/>
  <cols>
    <col min="1" max="1" width="17.44140625" style="1417" customWidth="1"/>
    <col min="2" max="2" width="19" style="1417" customWidth="1"/>
    <col min="3" max="3" width="5.21875" style="1417" customWidth="1"/>
    <col min="4" max="9" width="10.33203125" style="1417" customWidth="1"/>
    <col min="10" max="10" width="12.6640625" style="1417" customWidth="1"/>
    <col min="11" max="16384" width="8" style="1417"/>
  </cols>
  <sheetData>
    <row r="1" spans="1:10" ht="18" customHeight="1">
      <c r="A1" s="1653" t="s">
        <v>329</v>
      </c>
      <c r="B1" s="1655" t="s">
        <v>330</v>
      </c>
      <c r="C1" s="1655" t="s">
        <v>983</v>
      </c>
      <c r="D1" s="1659" t="s">
        <v>578</v>
      </c>
      <c r="E1" s="1660"/>
      <c r="F1" s="1651" t="s">
        <v>579</v>
      </c>
      <c r="G1" s="1652"/>
      <c r="H1" s="1445" t="s">
        <v>580</v>
      </c>
      <c r="I1" s="1387"/>
      <c r="J1" s="1657" t="s">
        <v>331</v>
      </c>
    </row>
    <row r="2" spans="1:10" ht="18" customHeight="1">
      <c r="A2" s="1654"/>
      <c r="B2" s="1656"/>
      <c r="C2" s="1656"/>
      <c r="D2" s="1446" t="s">
        <v>926</v>
      </c>
      <c r="E2" s="1389" t="s">
        <v>332</v>
      </c>
      <c r="F2" s="1446" t="s">
        <v>926</v>
      </c>
      <c r="G2" s="1389" t="s">
        <v>332</v>
      </c>
      <c r="H2" s="1446" t="s">
        <v>926</v>
      </c>
      <c r="I2" s="1389" t="s">
        <v>332</v>
      </c>
      <c r="J2" s="1658"/>
    </row>
    <row r="3" spans="1:10" ht="18" customHeight="1">
      <c r="A3" s="1447" t="s">
        <v>581</v>
      </c>
      <c r="B3" s="1448" t="s">
        <v>582</v>
      </c>
      <c r="C3" s="1449" t="s">
        <v>583</v>
      </c>
      <c r="D3" s="1449"/>
      <c r="E3" s="1393"/>
      <c r="F3" s="1393"/>
      <c r="G3" s="1393"/>
      <c r="H3" s="1450">
        <v>287</v>
      </c>
      <c r="I3" s="1389">
        <v>600</v>
      </c>
      <c r="J3" s="1395">
        <f>I3</f>
        <v>600</v>
      </c>
    </row>
    <row r="4" spans="1:10" ht="18" customHeight="1">
      <c r="A4" s="1447" t="s">
        <v>584</v>
      </c>
      <c r="B4" s="1448" t="s">
        <v>585</v>
      </c>
      <c r="C4" s="1449" t="s">
        <v>583</v>
      </c>
      <c r="D4" s="1449"/>
      <c r="E4" s="1393"/>
      <c r="F4" s="1393"/>
      <c r="G4" s="1393"/>
      <c r="H4" s="1450">
        <v>287</v>
      </c>
      <c r="I4" s="1396">
        <v>400</v>
      </c>
      <c r="J4" s="1395">
        <f>I4</f>
        <v>400</v>
      </c>
    </row>
    <row r="5" spans="1:10" ht="18" customHeight="1">
      <c r="A5" s="1447" t="s">
        <v>586</v>
      </c>
      <c r="B5" s="1448" t="s">
        <v>518</v>
      </c>
      <c r="C5" s="1449" t="s">
        <v>587</v>
      </c>
      <c r="D5" s="1449"/>
      <c r="E5" s="1393"/>
      <c r="F5" s="1393"/>
      <c r="G5" s="1393">
        <v>50000</v>
      </c>
      <c r="H5" s="1450"/>
      <c r="I5" s="1396"/>
      <c r="J5" s="1395">
        <f>G5</f>
        <v>50000</v>
      </c>
    </row>
    <row r="6" spans="1:10" ht="18" customHeight="1">
      <c r="A6" s="1447" t="s">
        <v>588</v>
      </c>
      <c r="B6" s="1448" t="s">
        <v>589</v>
      </c>
      <c r="C6" s="1449" t="s">
        <v>590</v>
      </c>
      <c r="D6" s="1449"/>
      <c r="E6" s="1393"/>
      <c r="F6" s="1393"/>
      <c r="G6" s="1393"/>
      <c r="H6" s="1450">
        <v>287</v>
      </c>
      <c r="I6" s="1396">
        <v>240</v>
      </c>
      <c r="J6" s="1395">
        <f>I6</f>
        <v>240</v>
      </c>
    </row>
    <row r="7" spans="1:10" ht="19.5" customHeight="1">
      <c r="A7" s="1447" t="s">
        <v>591</v>
      </c>
      <c r="B7" s="1448" t="s">
        <v>507</v>
      </c>
      <c r="C7" s="1449" t="s">
        <v>592</v>
      </c>
      <c r="D7" s="1449"/>
      <c r="E7" s="1393"/>
      <c r="F7" s="1393"/>
      <c r="G7" s="1393"/>
      <c r="H7" s="1450">
        <v>287</v>
      </c>
      <c r="I7" s="1396">
        <v>3260</v>
      </c>
      <c r="J7" s="1395">
        <f>I7</f>
        <v>3260</v>
      </c>
    </row>
    <row r="8" spans="1:10" ht="19.5" customHeight="1">
      <c r="A8" s="1447" t="s">
        <v>528</v>
      </c>
      <c r="B8" s="1448" t="s">
        <v>529</v>
      </c>
      <c r="C8" s="1449" t="s">
        <v>530</v>
      </c>
      <c r="D8" s="1449"/>
      <c r="E8" s="1393"/>
      <c r="F8" s="1393"/>
      <c r="G8" s="1393"/>
      <c r="H8" s="1450">
        <v>302</v>
      </c>
      <c r="I8" s="1396">
        <v>18000</v>
      </c>
      <c r="J8" s="1395">
        <f>I8</f>
        <v>18000</v>
      </c>
    </row>
    <row r="9" spans="1:10" ht="19.5" customHeight="1">
      <c r="A9" s="1447" t="s">
        <v>593</v>
      </c>
      <c r="B9" s="1448" t="s">
        <v>594</v>
      </c>
      <c r="C9" s="1449" t="s">
        <v>595</v>
      </c>
      <c r="D9" s="1449"/>
      <c r="E9" s="1393"/>
      <c r="F9" s="1393"/>
      <c r="G9" s="1393"/>
      <c r="H9" s="1450">
        <v>302</v>
      </c>
      <c r="I9" s="1393">
        <v>185000</v>
      </c>
      <c r="J9" s="1395">
        <f>I9</f>
        <v>185000</v>
      </c>
    </row>
    <row r="10" spans="1:10" ht="19.5" customHeight="1">
      <c r="A10" s="1447" t="s">
        <v>596</v>
      </c>
      <c r="B10" s="1448"/>
      <c r="C10" s="1449" t="s">
        <v>597</v>
      </c>
      <c r="D10" s="1449"/>
      <c r="E10" s="1393"/>
      <c r="F10" s="1393"/>
      <c r="G10" s="1393"/>
      <c r="H10" s="1450">
        <v>1255</v>
      </c>
      <c r="I10" s="1396">
        <v>1322</v>
      </c>
      <c r="J10" s="1398">
        <f>I10</f>
        <v>1322</v>
      </c>
    </row>
    <row r="11" spans="1:10" ht="13.5" customHeight="1">
      <c r="A11" s="1447"/>
      <c r="B11" s="1448"/>
      <c r="C11" s="1449"/>
      <c r="D11" s="1449"/>
      <c r="E11" s="1393"/>
      <c r="F11" s="1393"/>
      <c r="G11" s="1393"/>
      <c r="H11" s="1396"/>
      <c r="I11" s="1396"/>
      <c r="J11" s="1398"/>
    </row>
    <row r="12" spans="1:10" ht="18" customHeight="1">
      <c r="A12" s="1451" t="s">
        <v>598</v>
      </c>
      <c r="B12" s="1448"/>
      <c r="C12" s="1449" t="s">
        <v>599</v>
      </c>
      <c r="D12" s="1449"/>
      <c r="E12" s="1449"/>
      <c r="F12" s="1449"/>
      <c r="G12" s="1449"/>
      <c r="H12" s="1452"/>
      <c r="I12" s="1452"/>
      <c r="J12" s="1395">
        <v>68965</v>
      </c>
    </row>
    <row r="13" spans="1:10" ht="18" customHeight="1">
      <c r="A13" s="1451" t="s">
        <v>600</v>
      </c>
      <c r="B13" s="1448"/>
      <c r="C13" s="1449" t="s">
        <v>599</v>
      </c>
      <c r="D13" s="1449"/>
      <c r="E13" s="1449"/>
      <c r="F13" s="1449"/>
      <c r="G13" s="1449"/>
      <c r="H13" s="1452"/>
      <c r="I13" s="1452"/>
      <c r="J13" s="1395">
        <v>84404</v>
      </c>
    </row>
    <row r="14" spans="1:10" ht="18" customHeight="1">
      <c r="A14" s="1451" t="s">
        <v>601</v>
      </c>
      <c r="B14" s="1448"/>
      <c r="C14" s="1449" t="s">
        <v>599</v>
      </c>
      <c r="D14" s="1449"/>
      <c r="E14" s="1449"/>
      <c r="F14" s="1449"/>
      <c r="G14" s="1449"/>
      <c r="H14" s="1452"/>
      <c r="I14" s="1452"/>
      <c r="J14" s="1395">
        <v>92218</v>
      </c>
    </row>
    <row r="15" spans="1:10" ht="18" customHeight="1">
      <c r="A15" s="1451" t="s">
        <v>602</v>
      </c>
      <c r="B15" s="1448"/>
      <c r="C15" s="1449" t="s">
        <v>599</v>
      </c>
      <c r="D15" s="1449"/>
      <c r="E15" s="1449"/>
      <c r="F15" s="1449"/>
      <c r="G15" s="1449"/>
      <c r="H15" s="1452"/>
      <c r="I15" s="1452"/>
      <c r="J15" s="1395">
        <v>86521</v>
      </c>
    </row>
    <row r="16" spans="1:10" ht="18" customHeight="1">
      <c r="A16" s="1451" t="s">
        <v>603</v>
      </c>
      <c r="B16" s="1448"/>
      <c r="C16" s="1449" t="s">
        <v>599</v>
      </c>
      <c r="D16" s="1449"/>
      <c r="E16" s="1449"/>
      <c r="F16" s="1449"/>
      <c r="G16" s="1449"/>
      <c r="H16" s="1452"/>
      <c r="I16" s="1452"/>
      <c r="J16" s="1395">
        <v>79533</v>
      </c>
    </row>
    <row r="17" spans="1:10" ht="18" customHeight="1">
      <c r="A17" s="1447" t="s">
        <v>604</v>
      </c>
      <c r="B17" s="1448"/>
      <c r="C17" s="1449" t="s">
        <v>495</v>
      </c>
      <c r="D17" s="1449"/>
      <c r="E17" s="1449"/>
      <c r="F17" s="1449"/>
      <c r="G17" s="1449"/>
      <c r="H17" s="1396"/>
      <c r="I17" s="1396"/>
      <c r="J17" s="1398">
        <v>98693</v>
      </c>
    </row>
    <row r="18" spans="1:10" ht="18" customHeight="1">
      <c r="A18" s="1447" t="s">
        <v>605</v>
      </c>
      <c r="B18" s="1448"/>
      <c r="C18" s="1449" t="s">
        <v>495</v>
      </c>
      <c r="D18" s="1449"/>
      <c r="E18" s="1449"/>
      <c r="F18" s="1449"/>
      <c r="G18" s="1449"/>
      <c r="H18" s="1396"/>
      <c r="I18" s="1396"/>
      <c r="J18" s="1398">
        <v>94350</v>
      </c>
    </row>
    <row r="19" spans="1:10" ht="18" customHeight="1">
      <c r="A19" s="1447" t="s">
        <v>606</v>
      </c>
      <c r="B19" s="1448"/>
      <c r="C19" s="1449" t="s">
        <v>495</v>
      </c>
      <c r="D19" s="1449"/>
      <c r="E19" s="1449"/>
      <c r="F19" s="1449"/>
      <c r="G19" s="1449"/>
      <c r="H19" s="1452"/>
      <c r="I19" s="1452"/>
      <c r="J19" s="1398">
        <v>55282</v>
      </c>
    </row>
    <row r="20" spans="1:10" ht="18" customHeight="1">
      <c r="A20" s="1451" t="s">
        <v>607</v>
      </c>
      <c r="B20" s="1448"/>
      <c r="C20" s="1449" t="s">
        <v>495</v>
      </c>
      <c r="D20" s="1449"/>
      <c r="E20" s="1449"/>
      <c r="F20" s="1449"/>
      <c r="G20" s="1449"/>
      <c r="H20" s="1452"/>
      <c r="I20" s="1452"/>
      <c r="J20" s="1395">
        <v>84942</v>
      </c>
    </row>
    <row r="21" spans="1:10" ht="18" customHeight="1">
      <c r="A21" s="1451"/>
      <c r="B21" s="1448"/>
      <c r="C21" s="1449"/>
      <c r="D21" s="1449"/>
      <c r="E21" s="1449"/>
      <c r="F21" s="1449"/>
      <c r="G21" s="1449"/>
      <c r="H21" s="1452"/>
      <c r="I21" s="1452"/>
      <c r="J21" s="1395"/>
    </row>
    <row r="22" spans="1:10" ht="18" customHeight="1">
      <c r="A22" s="1451"/>
      <c r="B22" s="1448"/>
      <c r="C22" s="1449"/>
      <c r="D22" s="1449"/>
      <c r="E22" s="1449"/>
      <c r="F22" s="1449"/>
      <c r="G22" s="1449"/>
      <c r="H22" s="1452"/>
      <c r="I22" s="1452"/>
      <c r="J22" s="1395"/>
    </row>
    <row r="23" spans="1:10" ht="18" customHeight="1">
      <c r="A23" s="1451"/>
      <c r="B23" s="1448"/>
      <c r="C23" s="1449"/>
      <c r="D23" s="1449"/>
      <c r="E23" s="1449"/>
      <c r="F23" s="1449"/>
      <c r="G23" s="1449"/>
      <c r="H23" s="1452"/>
      <c r="I23" s="1452"/>
      <c r="J23" s="1395"/>
    </row>
    <row r="24" spans="1:10" ht="18" customHeight="1">
      <c r="A24" s="1401" t="s">
        <v>608</v>
      </c>
      <c r="B24" s="1402"/>
      <c r="C24" s="1453"/>
      <c r="D24" s="1453"/>
      <c r="E24" s="1453"/>
      <c r="F24" s="1453"/>
      <c r="G24" s="1453"/>
      <c r="H24" s="1454"/>
      <c r="I24" s="1454"/>
      <c r="J24" s="1405"/>
    </row>
  </sheetData>
  <mergeCells count="6">
    <mergeCell ref="A1:A2"/>
    <mergeCell ref="B1:B2"/>
    <mergeCell ref="C1:C2"/>
    <mergeCell ref="J1:J2"/>
    <mergeCell ref="D1:E1"/>
    <mergeCell ref="F1:G1"/>
  </mergeCells>
  <phoneticPr fontId="116" type="noConversion"/>
  <pageMargins left="0.85" right="0.75" top="1.1299999999999999" bottom="0.64" header="0.5" footer="0.5"/>
  <pageSetup paperSize="9" orientation="landscape" horizontalDpi="300" verticalDpi="300" r:id="rId1"/>
  <headerFooter alignWithMargins="0">
    <oddHeader>&amp;L적용단가-자재 및 인건비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N20"/>
  <sheetViews>
    <sheetView zoomScale="98" workbookViewId="0">
      <pane ySplit="2" topLeftCell="A3" activePane="bottomLeft" state="frozen"/>
      <selection activeCell="A6" sqref="A6:F6"/>
      <selection pane="bottomLeft" activeCell="A6" sqref="A6:F6"/>
    </sheetView>
  </sheetViews>
  <sheetFormatPr defaultColWidth="8" defaultRowHeight="13.5"/>
  <cols>
    <col min="1" max="1" width="7.33203125" style="1466" customWidth="1"/>
    <col min="2" max="2" width="6.5546875" style="1466" customWidth="1"/>
    <col min="3" max="3" width="11.33203125" style="1466" customWidth="1"/>
    <col min="4" max="4" width="7.6640625" style="1466" customWidth="1"/>
    <col min="5" max="5" width="4.88671875" style="1466" customWidth="1"/>
    <col min="6" max="6" width="9.21875" style="1466" customWidth="1"/>
    <col min="7" max="7" width="9.88671875" style="1466" customWidth="1"/>
    <col min="8" max="13" width="9.44140625" style="1466" customWidth="1"/>
    <col min="14" max="15" width="8.5546875" style="1466" customWidth="1"/>
    <col min="16" max="17" width="7.6640625" style="1466" customWidth="1"/>
    <col min="18" max="20" width="5.88671875" style="1466" customWidth="1"/>
    <col min="21" max="16384" width="8" style="1466"/>
  </cols>
  <sheetData>
    <row r="1" spans="1:14" s="1455" customFormat="1" ht="21.95" customHeight="1">
      <c r="A1" s="1621" t="s">
        <v>478</v>
      </c>
      <c r="B1" s="1617"/>
      <c r="C1" s="1617" t="s">
        <v>479</v>
      </c>
      <c r="D1" s="1617" t="s">
        <v>480</v>
      </c>
      <c r="E1" s="1617" t="s">
        <v>481</v>
      </c>
      <c r="F1" s="1625" t="s">
        <v>482</v>
      </c>
      <c r="G1" s="1625"/>
      <c r="H1" s="1617" t="s">
        <v>483</v>
      </c>
      <c r="I1" s="1617"/>
      <c r="J1" s="1617" t="s">
        <v>484</v>
      </c>
      <c r="K1" s="1617"/>
      <c r="L1" s="1617" t="s">
        <v>485</v>
      </c>
      <c r="M1" s="1617"/>
      <c r="N1" s="1623" t="s">
        <v>486</v>
      </c>
    </row>
    <row r="2" spans="1:14" s="1455" customFormat="1" ht="21.95" customHeight="1">
      <c r="A2" s="1622"/>
      <c r="B2" s="1618"/>
      <c r="C2" s="1618"/>
      <c r="D2" s="1618"/>
      <c r="E2" s="1618"/>
      <c r="F2" s="1271" t="s">
        <v>487</v>
      </c>
      <c r="G2" s="1272" t="s">
        <v>488</v>
      </c>
      <c r="H2" s="1271" t="s">
        <v>487</v>
      </c>
      <c r="I2" s="1271" t="s">
        <v>488</v>
      </c>
      <c r="J2" s="1271" t="s">
        <v>487</v>
      </c>
      <c r="K2" s="1271" t="s">
        <v>488</v>
      </c>
      <c r="L2" s="1271" t="s">
        <v>487</v>
      </c>
      <c r="M2" s="1271" t="s">
        <v>488</v>
      </c>
      <c r="N2" s="1624"/>
    </row>
    <row r="3" spans="1:14" s="1455" customFormat="1" ht="21.95" customHeight="1">
      <c r="A3" s="1619" t="str">
        <f ca="1">'테라토10-일위대가'!A3</f>
        <v xml:space="preserve">제 1호표 앙카핀 및 착지핀 홀천공 </v>
      </c>
      <c r="B3" s="1620"/>
      <c r="C3" s="1620"/>
      <c r="D3" s="1620"/>
      <c r="E3" s="1620"/>
      <c r="F3" s="1620"/>
      <c r="G3" s="1274"/>
      <c r="H3" s="1275"/>
      <c r="I3" s="1275"/>
      <c r="J3" s="1275"/>
      <c r="K3" s="1275"/>
      <c r="L3" s="1275"/>
      <c r="M3" s="1275"/>
      <c r="N3" s="1273"/>
    </row>
    <row r="4" spans="1:14" s="1455" customFormat="1" ht="21.95" customHeight="1">
      <c r="A4" s="1610" t="str">
        <f ca="1">'테라토10-일위대가'!A9</f>
        <v xml:space="preserve">제 2호표 앙카핀 및 착지핀 설치 </v>
      </c>
      <c r="B4" s="1611"/>
      <c r="C4" s="1611"/>
      <c r="D4" s="1611"/>
      <c r="E4" s="1611"/>
      <c r="F4" s="1612"/>
      <c r="G4" s="1276"/>
      <c r="H4" s="1275"/>
      <c r="I4" s="1275"/>
      <c r="J4" s="1275"/>
      <c r="K4" s="1275"/>
      <c r="L4" s="1275"/>
      <c r="M4" s="1275"/>
      <c r="N4" s="1273"/>
    </row>
    <row r="5" spans="1:14" s="1455" customFormat="1" ht="21.95" customHeight="1">
      <c r="A5" s="1610" t="str">
        <f ca="1">'테라토10-일위대가'!A17</f>
        <v xml:space="preserve">제 3호표 능형망 설치 </v>
      </c>
      <c r="B5" s="1611"/>
      <c r="C5" s="1611"/>
      <c r="D5" s="1611"/>
      <c r="E5" s="1611"/>
      <c r="F5" s="1612"/>
      <c r="G5" s="1276"/>
      <c r="H5" s="1456"/>
      <c r="I5" s="1457"/>
      <c r="J5" s="1456"/>
      <c r="K5" s="1457"/>
      <c r="L5" s="1456"/>
      <c r="M5" s="1457"/>
      <c r="N5" s="1273"/>
    </row>
    <row r="6" spans="1:14" s="1455" customFormat="1" ht="21.95" customHeight="1">
      <c r="A6" s="1610" t="str">
        <f ca="1">'테라토10-일위대가'!A24</f>
        <v>제 4호표 취부공 품셈</v>
      </c>
      <c r="B6" s="1611"/>
      <c r="C6" s="1611"/>
      <c r="D6" s="1611"/>
      <c r="E6" s="1611"/>
      <c r="F6" s="1612"/>
      <c r="G6" s="1276"/>
      <c r="H6" s="1456"/>
      <c r="I6" s="1457"/>
      <c r="J6" s="1456"/>
      <c r="K6" s="1457"/>
      <c r="L6" s="1456"/>
      <c r="M6" s="1457"/>
      <c r="N6" s="1273"/>
    </row>
    <row r="7" spans="1:14" s="1455" customFormat="1" ht="21.95" customHeight="1">
      <c r="A7" s="1279"/>
      <c r="B7" s="1280"/>
      <c r="C7" s="1458"/>
      <c r="D7" s="1458"/>
      <c r="E7" s="1458"/>
      <c r="F7" s="1458"/>
      <c r="G7" s="1276"/>
      <c r="H7" s="1459"/>
      <c r="I7" s="1460"/>
      <c r="J7" s="1459"/>
      <c r="K7" s="1460"/>
      <c r="L7" s="1459"/>
      <c r="M7" s="1460"/>
      <c r="N7" s="1461"/>
    </row>
    <row r="8" spans="1:14" ht="21.95" customHeight="1">
      <c r="A8" s="1279"/>
      <c r="B8" s="1280"/>
      <c r="C8" s="1458"/>
      <c r="D8" s="1458"/>
      <c r="E8" s="1458"/>
      <c r="F8" s="1458"/>
      <c r="G8" s="1462"/>
      <c r="H8" s="1463"/>
      <c r="I8" s="1464"/>
      <c r="J8" s="1463"/>
      <c r="K8" s="1464"/>
      <c r="L8" s="1463"/>
      <c r="M8" s="1464"/>
      <c r="N8" s="1465"/>
    </row>
    <row r="9" spans="1:14" ht="21.95" customHeight="1">
      <c r="A9" s="1615"/>
      <c r="B9" s="1616"/>
      <c r="C9" s="1467"/>
      <c r="D9" s="1458"/>
      <c r="E9" s="1458"/>
      <c r="F9" s="1458"/>
      <c r="G9" s="1462"/>
      <c r="H9" s="1468"/>
      <c r="I9" s="1468"/>
      <c r="J9" s="1468"/>
      <c r="K9" s="1468"/>
      <c r="L9" s="1468"/>
      <c r="M9" s="1468"/>
      <c r="N9" s="1469"/>
    </row>
    <row r="10" spans="1:14" ht="21.95" customHeight="1">
      <c r="A10" s="1615"/>
      <c r="B10" s="1616"/>
      <c r="C10" s="1467"/>
      <c r="D10" s="1470"/>
      <c r="E10" s="1470"/>
      <c r="F10" s="1470"/>
      <c r="G10" s="1471"/>
      <c r="H10" s="1472"/>
      <c r="I10" s="1472"/>
      <c r="J10" s="1472"/>
      <c r="K10" s="1472"/>
      <c r="L10" s="1472"/>
      <c r="M10" s="1472"/>
      <c r="N10" s="1473"/>
    </row>
    <row r="11" spans="1:14" ht="21.95" customHeight="1">
      <c r="A11" s="1608"/>
      <c r="B11" s="1609"/>
      <c r="C11" s="1474"/>
      <c r="D11" s="1472"/>
      <c r="E11" s="1472"/>
      <c r="F11" s="1472"/>
      <c r="G11" s="1475"/>
      <c r="H11" s="1472"/>
      <c r="I11" s="1472"/>
      <c r="J11" s="1472"/>
      <c r="K11" s="1472"/>
      <c r="L11" s="1472"/>
      <c r="M11" s="1472"/>
      <c r="N11" s="1473"/>
    </row>
    <row r="12" spans="1:14" ht="21.95" customHeight="1">
      <c r="A12" s="1608"/>
      <c r="B12" s="1609"/>
      <c r="C12" s="1474"/>
      <c r="D12" s="1472"/>
      <c r="E12" s="1472"/>
      <c r="F12" s="1472"/>
      <c r="G12" s="1475"/>
      <c r="H12" s="1472"/>
      <c r="I12" s="1472"/>
      <c r="J12" s="1472"/>
      <c r="K12" s="1472"/>
      <c r="L12" s="1472"/>
      <c r="M12" s="1472"/>
      <c r="N12" s="1473"/>
    </row>
    <row r="13" spans="1:14" ht="21.95" customHeight="1">
      <c r="A13" s="1608"/>
      <c r="B13" s="1609"/>
      <c r="C13" s="1474"/>
      <c r="D13" s="1472"/>
      <c r="E13" s="1472"/>
      <c r="F13" s="1472"/>
      <c r="G13" s="1475"/>
      <c r="H13" s="1472"/>
      <c r="I13" s="1472"/>
      <c r="J13" s="1472"/>
      <c r="K13" s="1472"/>
      <c r="L13" s="1472"/>
      <c r="M13" s="1472"/>
      <c r="N13" s="1473"/>
    </row>
    <row r="14" spans="1:14" ht="21.95" customHeight="1">
      <c r="A14" s="1608"/>
      <c r="B14" s="1609"/>
      <c r="C14" s="1472"/>
      <c r="D14" s="1472"/>
      <c r="E14" s="1472"/>
      <c r="F14" s="1472"/>
      <c r="G14" s="1472"/>
      <c r="H14" s="1472"/>
      <c r="I14" s="1472"/>
      <c r="J14" s="1472"/>
      <c r="K14" s="1472"/>
      <c r="L14" s="1472"/>
      <c r="M14" s="1472"/>
      <c r="N14" s="1473"/>
    </row>
    <row r="15" spans="1:14" ht="21.95" customHeight="1">
      <c r="A15" s="1608"/>
      <c r="B15" s="1609"/>
      <c r="C15" s="1472"/>
      <c r="D15" s="1472"/>
      <c r="E15" s="1472"/>
      <c r="F15" s="1472"/>
      <c r="G15" s="1472"/>
      <c r="H15" s="1472"/>
      <c r="I15" s="1472"/>
      <c r="J15" s="1472"/>
      <c r="K15" s="1472"/>
      <c r="L15" s="1472"/>
      <c r="M15" s="1472"/>
      <c r="N15" s="1473"/>
    </row>
    <row r="16" spans="1:14" ht="21.95" customHeight="1">
      <c r="A16" s="1608"/>
      <c r="B16" s="1609"/>
      <c r="C16" s="1472"/>
      <c r="D16" s="1472"/>
      <c r="E16" s="1472"/>
      <c r="F16" s="1472"/>
      <c r="G16" s="1472"/>
      <c r="H16" s="1472"/>
      <c r="I16" s="1472"/>
      <c r="J16" s="1472"/>
      <c r="K16" s="1472"/>
      <c r="L16" s="1472"/>
      <c r="M16" s="1472"/>
      <c r="N16" s="1473"/>
    </row>
    <row r="17" spans="1:14" ht="21.95" customHeight="1">
      <c r="A17" s="1608"/>
      <c r="B17" s="1609"/>
      <c r="C17" s="1476"/>
      <c r="D17" s="1476"/>
      <c r="E17" s="1476"/>
      <c r="F17" s="1476"/>
      <c r="G17" s="1476"/>
      <c r="H17" s="1476"/>
      <c r="I17" s="1476"/>
      <c r="J17" s="1476"/>
      <c r="K17" s="1476"/>
      <c r="L17" s="1476"/>
      <c r="M17" s="1476"/>
      <c r="N17" s="1473"/>
    </row>
    <row r="18" spans="1:14" ht="21.95" customHeight="1">
      <c r="A18" s="1608"/>
      <c r="B18" s="1609"/>
      <c r="C18" s="1476"/>
      <c r="D18" s="1476"/>
      <c r="E18" s="1476"/>
      <c r="F18" s="1476"/>
      <c r="G18" s="1476"/>
      <c r="H18" s="1476"/>
      <c r="I18" s="1476"/>
      <c r="J18" s="1476"/>
      <c r="K18" s="1476"/>
      <c r="L18" s="1476"/>
      <c r="M18" s="1476"/>
      <c r="N18" s="1473"/>
    </row>
    <row r="19" spans="1:14" ht="21.95" customHeight="1">
      <c r="A19" s="1608"/>
      <c r="B19" s="1609"/>
      <c r="C19" s="1476"/>
      <c r="D19" s="1476"/>
      <c r="E19" s="1476"/>
      <c r="F19" s="1476"/>
      <c r="G19" s="1476"/>
      <c r="H19" s="1476"/>
      <c r="I19" s="1476"/>
      <c r="J19" s="1476"/>
      <c r="K19" s="1476"/>
      <c r="L19" s="1476"/>
      <c r="M19" s="1476"/>
      <c r="N19" s="1473"/>
    </row>
    <row r="20" spans="1:14" ht="21.95" customHeight="1">
      <c r="A20" s="1613"/>
      <c r="B20" s="1614"/>
      <c r="C20" s="1477"/>
      <c r="D20" s="1477"/>
      <c r="E20" s="1477"/>
      <c r="F20" s="1477"/>
      <c r="G20" s="1477"/>
      <c r="H20" s="1477"/>
      <c r="I20" s="1477"/>
      <c r="J20" s="1477"/>
      <c r="K20" s="1477"/>
      <c r="L20" s="1477"/>
      <c r="M20" s="1477"/>
      <c r="N20" s="1478"/>
    </row>
  </sheetData>
  <mergeCells count="25">
    <mergeCell ref="A18:B18"/>
    <mergeCell ref="A19:B19"/>
    <mergeCell ref="A6:F6"/>
    <mergeCell ref="A20:B20"/>
    <mergeCell ref="A9:B9"/>
    <mergeCell ref="A10:B10"/>
    <mergeCell ref="A14:B14"/>
    <mergeCell ref="A15:B15"/>
    <mergeCell ref="A16:B16"/>
    <mergeCell ref="A17:B17"/>
    <mergeCell ref="A12:B12"/>
    <mergeCell ref="A13:B13"/>
    <mergeCell ref="L1:M1"/>
    <mergeCell ref="C1:C2"/>
    <mergeCell ref="D1:D2"/>
    <mergeCell ref="A4:F4"/>
    <mergeCell ref="A5:F5"/>
    <mergeCell ref="A3:F3"/>
    <mergeCell ref="A1:B2"/>
    <mergeCell ref="N1:N2"/>
    <mergeCell ref="E1:E2"/>
    <mergeCell ref="H1:I1"/>
    <mergeCell ref="J1:K1"/>
    <mergeCell ref="F1:G1"/>
    <mergeCell ref="A11:B11"/>
  </mergeCells>
  <phoneticPr fontId="116" type="noConversion"/>
  <pageMargins left="0.61" right="0.52" top="1.08" bottom="0.65" header="0.57999999999999996" footer="0.39370078740157483"/>
  <pageSetup paperSize="9" orientation="landscape" horizontalDpi="300" verticalDpi="300" r:id="rId1"/>
  <headerFooter alignWithMargins="0">
    <oddHeader>&amp;C&amp;"돋움,보통"&amp;16일  위  대  가  목  록  표</oddHeader>
    <oddFooter>&amp;C(&amp;P)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1:N43"/>
  <sheetViews>
    <sheetView view="pageBreakPreview" zoomScaleNormal="98" workbookViewId="0">
      <pane ySplit="2" topLeftCell="A3" activePane="bottomLeft" state="frozen"/>
      <selection activeCell="A6" sqref="A6:F6"/>
      <selection pane="bottomLeft" activeCell="A6" sqref="A6:F6"/>
    </sheetView>
  </sheetViews>
  <sheetFormatPr defaultColWidth="8" defaultRowHeight="13.5"/>
  <cols>
    <col min="1" max="1" width="7.33203125" style="1492" customWidth="1"/>
    <col min="2" max="2" width="7.88671875" style="1492" customWidth="1"/>
    <col min="3" max="3" width="12.44140625" style="1492" customWidth="1"/>
    <col min="4" max="4" width="8.33203125" style="1492" customWidth="1"/>
    <col min="5" max="5" width="4.88671875" style="1492" customWidth="1"/>
    <col min="6" max="6" width="9.21875" style="1492" customWidth="1"/>
    <col min="7" max="7" width="9.88671875" style="1492" customWidth="1"/>
    <col min="8" max="13" width="9.44140625" style="1492" customWidth="1"/>
    <col min="14" max="14" width="6.88671875" style="1492" customWidth="1"/>
    <col min="15" max="15" width="8.5546875" style="1492" customWidth="1"/>
    <col min="16" max="17" width="7.6640625" style="1492" customWidth="1"/>
    <col min="18" max="20" width="5.88671875" style="1492" customWidth="1"/>
    <col min="21" max="16384" width="8" style="1492"/>
  </cols>
  <sheetData>
    <row r="1" spans="1:14" s="1479" customFormat="1" ht="20.100000000000001" customHeight="1">
      <c r="A1" s="1634" t="s">
        <v>478</v>
      </c>
      <c r="B1" s="1632"/>
      <c r="C1" s="1632" t="s">
        <v>479</v>
      </c>
      <c r="D1" s="1632" t="s">
        <v>480</v>
      </c>
      <c r="E1" s="1632" t="s">
        <v>481</v>
      </c>
      <c r="F1" s="1633" t="s">
        <v>482</v>
      </c>
      <c r="G1" s="1633"/>
      <c r="H1" s="1632" t="s">
        <v>483</v>
      </c>
      <c r="I1" s="1632"/>
      <c r="J1" s="1632" t="s">
        <v>484</v>
      </c>
      <c r="K1" s="1632"/>
      <c r="L1" s="1632" t="s">
        <v>485</v>
      </c>
      <c r="M1" s="1632"/>
      <c r="N1" s="1635" t="s">
        <v>486</v>
      </c>
    </row>
    <row r="2" spans="1:14" s="1479" customFormat="1" ht="20.100000000000001" customHeight="1">
      <c r="A2" s="1628"/>
      <c r="B2" s="1629"/>
      <c r="C2" s="1629"/>
      <c r="D2" s="1629"/>
      <c r="E2" s="1629"/>
      <c r="F2" s="1303" t="s">
        <v>487</v>
      </c>
      <c r="G2" s="1304" t="s">
        <v>488</v>
      </c>
      <c r="H2" s="1303" t="s">
        <v>487</v>
      </c>
      <c r="I2" s="1303" t="s">
        <v>488</v>
      </c>
      <c r="J2" s="1303" t="s">
        <v>487</v>
      </c>
      <c r="K2" s="1303" t="s">
        <v>488</v>
      </c>
      <c r="L2" s="1303" t="s">
        <v>487</v>
      </c>
      <c r="M2" s="1303" t="s">
        <v>488</v>
      </c>
      <c r="N2" s="1636"/>
    </row>
    <row r="3" spans="1:14" s="1479" customFormat="1" ht="20.100000000000001" customHeight="1">
      <c r="A3" s="1305" t="s">
        <v>489</v>
      </c>
      <c r="B3" s="1306"/>
      <c r="C3" s="1306"/>
      <c r="D3" s="1306"/>
      <c r="E3" s="1307"/>
      <c r="F3" s="1308"/>
      <c r="G3" s="594"/>
      <c r="H3" s="594"/>
      <c r="I3" s="594"/>
      <c r="J3" s="594"/>
      <c r="K3" s="594"/>
      <c r="L3" s="594"/>
      <c r="M3" s="594"/>
      <c r="N3" s="1215" t="s">
        <v>490</v>
      </c>
    </row>
    <row r="4" spans="1:14" s="1479" customFormat="1" ht="20.100000000000001" customHeight="1">
      <c r="A4" s="1626" t="s">
        <v>491</v>
      </c>
      <c r="B4" s="1627"/>
      <c r="C4" s="1303" t="s">
        <v>492</v>
      </c>
      <c r="D4" s="1309">
        <v>1.9E-2</v>
      </c>
      <c r="E4" s="1303" t="s">
        <v>493</v>
      </c>
      <c r="F4" s="1303">
        <f>H4+J4+L4</f>
        <v>38821</v>
      </c>
      <c r="G4" s="594">
        <f>SUM(I4,K4,M4)</f>
        <v>736</v>
      </c>
      <c r="H4" s="594">
        <f ca="1">'테라토10-장비'!F7</f>
        <v>14606</v>
      </c>
      <c r="I4" s="594">
        <f ca="1">INT(D4*H4)</f>
        <v>277</v>
      </c>
      <c r="J4" s="594">
        <f ca="1">'테라토10-장비'!F11</f>
        <v>20561</v>
      </c>
      <c r="K4" s="594">
        <f ca="1">INT(D4*J4)</f>
        <v>390</v>
      </c>
      <c r="L4" s="594">
        <f ca="1">'테라토10-장비'!F13</f>
        <v>3654</v>
      </c>
      <c r="M4" s="594">
        <f>INT(D4*L4)</f>
        <v>69</v>
      </c>
      <c r="N4" s="1310"/>
    </row>
    <row r="5" spans="1:14" s="1479" customFormat="1" ht="20.100000000000001" customHeight="1">
      <c r="A5" s="1626" t="s">
        <v>494</v>
      </c>
      <c r="B5" s="1627"/>
      <c r="C5" s="1303"/>
      <c r="D5" s="1309">
        <v>1.2E-2</v>
      </c>
      <c r="E5" s="1303" t="s">
        <v>495</v>
      </c>
      <c r="F5" s="1303">
        <f>H5+J5+L5</f>
        <v>79533</v>
      </c>
      <c r="G5" s="594">
        <f>SUM(I5,K5,M5)</f>
        <v>954</v>
      </c>
      <c r="H5" s="594">
        <v>0</v>
      </c>
      <c r="I5" s="594">
        <f>INT(D5*H5)</f>
        <v>0</v>
      </c>
      <c r="J5" s="594">
        <f ca="1">'테라토10-단가적용'!J16</f>
        <v>79533</v>
      </c>
      <c r="K5" s="594">
        <f>INT(D5*J5)</f>
        <v>954</v>
      </c>
      <c r="L5" s="594">
        <v>0</v>
      </c>
      <c r="M5" s="594">
        <f>INT(D5*L5)</f>
        <v>0</v>
      </c>
      <c r="N5" s="1310"/>
    </row>
    <row r="6" spans="1:14" s="1479" customFormat="1" ht="20.100000000000001" customHeight="1">
      <c r="A6" s="1626" t="s">
        <v>496</v>
      </c>
      <c r="B6" s="1627"/>
      <c r="C6" s="1303"/>
      <c r="D6" s="1309">
        <v>1.2E-2</v>
      </c>
      <c r="E6" s="1303" t="s">
        <v>495</v>
      </c>
      <c r="F6" s="1303">
        <f>H6+J6+L6</f>
        <v>68965</v>
      </c>
      <c r="G6" s="594">
        <f>SUM(I6,K6,M6)</f>
        <v>827</v>
      </c>
      <c r="H6" s="594">
        <v>0</v>
      </c>
      <c r="I6" s="594">
        <f>INT(D6*H6)</f>
        <v>0</v>
      </c>
      <c r="J6" s="594">
        <f ca="1">'테라토10-단가적용'!J12</f>
        <v>68965</v>
      </c>
      <c r="K6" s="594">
        <f>INT(D6*J6)</f>
        <v>827</v>
      </c>
      <c r="L6" s="594">
        <v>0</v>
      </c>
      <c r="M6" s="594">
        <f>INT(D6*L6)</f>
        <v>0</v>
      </c>
      <c r="N6" s="1310"/>
    </row>
    <row r="7" spans="1:14" s="1479" customFormat="1" ht="20.100000000000001" customHeight="1">
      <c r="A7" s="1628" t="s">
        <v>497</v>
      </c>
      <c r="B7" s="1629"/>
      <c r="C7" s="594"/>
      <c r="D7" s="594"/>
      <c r="E7" s="594"/>
      <c r="F7" s="594"/>
      <c r="G7" s="594">
        <f>SUM(G4:G6)</f>
        <v>2517</v>
      </c>
      <c r="H7" s="594"/>
      <c r="I7" s="594">
        <f>SUM(I4:I6)</f>
        <v>277</v>
      </c>
      <c r="J7" s="594"/>
      <c r="K7" s="594">
        <f>SUM(K4:K6)</f>
        <v>2171</v>
      </c>
      <c r="L7" s="594"/>
      <c r="M7" s="594">
        <f>SUM(M4:M6)</f>
        <v>69</v>
      </c>
      <c r="N7" s="1310"/>
    </row>
    <row r="8" spans="1:14" s="1479" customFormat="1" ht="20.100000000000001" customHeight="1">
      <c r="A8" s="1628"/>
      <c r="B8" s="1629"/>
      <c r="C8" s="594"/>
      <c r="D8" s="594"/>
      <c r="E8" s="594"/>
      <c r="F8" s="594"/>
      <c r="G8" s="594"/>
      <c r="H8" s="594"/>
      <c r="I8" s="594"/>
      <c r="J8" s="594"/>
      <c r="K8" s="594"/>
      <c r="L8" s="594"/>
      <c r="M8" s="594"/>
      <c r="N8" s="1310"/>
    </row>
    <row r="9" spans="1:14" s="1479" customFormat="1" ht="20.100000000000001" customHeight="1">
      <c r="A9" s="1305" t="s">
        <v>498</v>
      </c>
      <c r="B9" s="1306"/>
      <c r="C9" s="1306"/>
      <c r="D9" s="1306"/>
      <c r="E9" s="1307"/>
      <c r="F9" s="1308"/>
      <c r="G9" s="594"/>
      <c r="H9" s="594"/>
      <c r="I9" s="594"/>
      <c r="J9" s="594"/>
      <c r="K9" s="594"/>
      <c r="L9" s="594"/>
      <c r="M9" s="594"/>
      <c r="N9" s="1215" t="s">
        <v>490</v>
      </c>
    </row>
    <row r="10" spans="1:14" s="1479" customFormat="1" ht="20.100000000000001" customHeight="1">
      <c r="A10" s="1626" t="s">
        <v>499</v>
      </c>
      <c r="B10" s="1627"/>
      <c r="C10" s="594" t="s">
        <v>500</v>
      </c>
      <c r="D10" s="1311">
        <v>0.23</v>
      </c>
      <c r="E10" s="1303" t="s">
        <v>501</v>
      </c>
      <c r="F10" s="1303">
        <f>H10+J10+L10</f>
        <v>600</v>
      </c>
      <c r="G10" s="594">
        <f>SUM(I10,K10,M10)</f>
        <v>138</v>
      </c>
      <c r="H10" s="594">
        <f ca="1">'테라토10-단가적용'!J3</f>
        <v>600</v>
      </c>
      <c r="I10" s="594">
        <f ca="1">INT(D10*H10)</f>
        <v>138</v>
      </c>
      <c r="J10" s="594">
        <v>0</v>
      </c>
      <c r="K10" s="594">
        <f>INT(D10*J10)</f>
        <v>0</v>
      </c>
      <c r="L10" s="594">
        <v>0</v>
      </c>
      <c r="M10" s="594">
        <f>INT(D10*L10)</f>
        <v>0</v>
      </c>
      <c r="N10" s="1310"/>
    </row>
    <row r="11" spans="1:14" s="1479" customFormat="1" ht="20.100000000000001" customHeight="1">
      <c r="A11" s="1626" t="s">
        <v>502</v>
      </c>
      <c r="B11" s="1627"/>
      <c r="C11" s="594" t="s">
        <v>503</v>
      </c>
      <c r="D11" s="1311">
        <v>0.5</v>
      </c>
      <c r="E11" s="1303" t="s">
        <v>501</v>
      </c>
      <c r="F11" s="1303">
        <f>H11+J11+L11</f>
        <v>400</v>
      </c>
      <c r="G11" s="594">
        <f>SUM(I11,K11,M11)</f>
        <v>200</v>
      </c>
      <c r="H11" s="594">
        <f ca="1">'테라토10-단가적용'!J4</f>
        <v>400</v>
      </c>
      <c r="I11" s="594">
        <f ca="1">INT(D11*H11)</f>
        <v>200</v>
      </c>
      <c r="J11" s="594">
        <v>0</v>
      </c>
      <c r="K11" s="594">
        <f>INT(D11*J11)</f>
        <v>0</v>
      </c>
      <c r="L11" s="594">
        <v>0</v>
      </c>
      <c r="M11" s="594">
        <f>INT(D11*L11)</f>
        <v>0</v>
      </c>
      <c r="N11" s="1310"/>
    </row>
    <row r="12" spans="1:14" s="1479" customFormat="1" ht="20.100000000000001" customHeight="1">
      <c r="A12" s="1626" t="s">
        <v>504</v>
      </c>
      <c r="B12" s="1627"/>
      <c r="C12" s="594"/>
      <c r="D12" s="1311">
        <v>6.0000000000000001E-3</v>
      </c>
      <c r="E12" s="1303" t="s">
        <v>495</v>
      </c>
      <c r="F12" s="1303">
        <f>H12+J12+L12</f>
        <v>84404</v>
      </c>
      <c r="G12" s="594">
        <f>SUM(I12,K12,M12)</f>
        <v>506</v>
      </c>
      <c r="H12" s="594">
        <v>0</v>
      </c>
      <c r="I12" s="594">
        <f ca="1">INT(D12*H12)</f>
        <v>0</v>
      </c>
      <c r="J12" s="594">
        <f ca="1">'테라토10-단가적용'!J13</f>
        <v>84404</v>
      </c>
      <c r="K12" s="594">
        <f>INT(D12*J12)</f>
        <v>506</v>
      </c>
      <c r="L12" s="594">
        <v>0</v>
      </c>
      <c r="M12" s="594">
        <f>INT(D12*L12)</f>
        <v>0</v>
      </c>
      <c r="N12" s="1310"/>
    </row>
    <row r="13" spans="1:14" s="1479" customFormat="1" ht="20.100000000000001" customHeight="1">
      <c r="A13" s="1626" t="s">
        <v>496</v>
      </c>
      <c r="B13" s="1627"/>
      <c r="C13" s="594"/>
      <c r="D13" s="1311">
        <v>6.0000000000000001E-3</v>
      </c>
      <c r="E13" s="1303" t="s">
        <v>495</v>
      </c>
      <c r="F13" s="1303">
        <f>H13+J13+L13</f>
        <v>68965</v>
      </c>
      <c r="G13" s="594">
        <f>SUM(I13,K13,M13)</f>
        <v>413</v>
      </c>
      <c r="H13" s="594">
        <v>0</v>
      </c>
      <c r="I13" s="594">
        <f ca="1">INT(D13*H13)</f>
        <v>0</v>
      </c>
      <c r="J13" s="594">
        <f ca="1">'테라토10-단가적용'!J12</f>
        <v>68965</v>
      </c>
      <c r="K13" s="594">
        <f>INT(D13*J13)</f>
        <v>413</v>
      </c>
      <c r="L13" s="594">
        <v>0</v>
      </c>
      <c r="M13" s="594">
        <f>INT(D13*L13)</f>
        <v>0</v>
      </c>
      <c r="N13" s="1310"/>
    </row>
    <row r="14" spans="1:14" s="1479" customFormat="1" ht="20.100000000000001" customHeight="1">
      <c r="A14" s="1628" t="s">
        <v>497</v>
      </c>
      <c r="B14" s="1629"/>
      <c r="C14" s="594"/>
      <c r="D14" s="594"/>
      <c r="E14" s="594"/>
      <c r="F14" s="594"/>
      <c r="G14" s="594">
        <f>SUM(G10:G13)</f>
        <v>1257</v>
      </c>
      <c r="H14" s="594"/>
      <c r="I14" s="594">
        <f>SUM(I10:I13)</f>
        <v>338</v>
      </c>
      <c r="J14" s="594"/>
      <c r="K14" s="594">
        <f>SUM(K10:K13)</f>
        <v>919</v>
      </c>
      <c r="L14" s="594"/>
      <c r="M14" s="594">
        <f>SUM(M10:M13)</f>
        <v>0</v>
      </c>
      <c r="N14" s="1310"/>
    </row>
    <row r="15" spans="1:14" s="1479" customFormat="1" ht="20.100000000000001" customHeight="1">
      <c r="A15" s="1628"/>
      <c r="B15" s="1629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1310"/>
    </row>
    <row r="16" spans="1:14" s="1479" customFormat="1" ht="20.100000000000001" customHeight="1">
      <c r="A16" s="1628"/>
      <c r="B16" s="1629"/>
      <c r="C16" s="594"/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1310"/>
    </row>
    <row r="17" spans="1:14" s="1479" customFormat="1" ht="20.100000000000001" customHeight="1">
      <c r="A17" s="1630" t="s">
        <v>505</v>
      </c>
      <c r="B17" s="1631"/>
      <c r="C17" s="1631"/>
      <c r="D17" s="1631"/>
      <c r="E17" s="1631"/>
      <c r="F17" s="1308"/>
      <c r="G17" s="1480"/>
      <c r="H17" s="1480"/>
      <c r="I17" s="1480"/>
      <c r="J17" s="1480"/>
      <c r="K17" s="1480"/>
      <c r="L17" s="1480"/>
      <c r="M17" s="1480"/>
      <c r="N17" s="1215" t="s">
        <v>490</v>
      </c>
    </row>
    <row r="18" spans="1:14" s="1479" customFormat="1" ht="20.100000000000001" customHeight="1">
      <c r="A18" s="1626" t="s">
        <v>506</v>
      </c>
      <c r="B18" s="1627"/>
      <c r="C18" s="1481" t="s">
        <v>507</v>
      </c>
      <c r="D18" s="1309">
        <v>1.3</v>
      </c>
      <c r="E18" s="1481" t="s">
        <v>508</v>
      </c>
      <c r="F18" s="1482">
        <f t="shared" ref="F18:G22" si="0">SUM(H18,J18,L18)</f>
        <v>3260</v>
      </c>
      <c r="G18" s="594">
        <f t="shared" si="0"/>
        <v>4238</v>
      </c>
      <c r="H18" s="594">
        <f ca="1">'테라토10-단가적용'!J7</f>
        <v>3260</v>
      </c>
      <c r="I18" s="594">
        <f ca="1">INT(D18*H18)</f>
        <v>4238</v>
      </c>
      <c r="J18" s="594">
        <v>0</v>
      </c>
      <c r="K18" s="594">
        <f>INT(D18*J18)</f>
        <v>0</v>
      </c>
      <c r="L18" s="594">
        <v>0</v>
      </c>
      <c r="M18" s="594">
        <f>INT(D18*L18)</f>
        <v>0</v>
      </c>
      <c r="N18" s="1483"/>
    </row>
    <row r="19" spans="1:14" s="1479" customFormat="1" ht="20.100000000000001" customHeight="1">
      <c r="A19" s="1626" t="s">
        <v>509</v>
      </c>
      <c r="B19" s="1627"/>
      <c r="C19" s="1481" t="s">
        <v>510</v>
      </c>
      <c r="D19" s="1309">
        <v>1.3</v>
      </c>
      <c r="E19" s="1481" t="s">
        <v>511</v>
      </c>
      <c r="F19" s="1482">
        <f t="shared" si="0"/>
        <v>240</v>
      </c>
      <c r="G19" s="594">
        <f t="shared" si="0"/>
        <v>312</v>
      </c>
      <c r="H19" s="594">
        <f ca="1">'테라토10-단가적용'!J6</f>
        <v>240</v>
      </c>
      <c r="I19" s="594">
        <f ca="1">INT(D19*H19)</f>
        <v>312</v>
      </c>
      <c r="J19" s="594">
        <v>0</v>
      </c>
      <c r="K19" s="594">
        <f>INT(D19*J19)</f>
        <v>0</v>
      </c>
      <c r="L19" s="594">
        <v>0</v>
      </c>
      <c r="M19" s="594">
        <f>INT(D19*L19)</f>
        <v>0</v>
      </c>
      <c r="N19" s="1483"/>
    </row>
    <row r="20" spans="1:14" s="1479" customFormat="1" ht="20.100000000000001" customHeight="1">
      <c r="A20" s="1626" t="s">
        <v>512</v>
      </c>
      <c r="B20" s="1627"/>
      <c r="C20" s="1480"/>
      <c r="D20" s="1309">
        <v>5.0000000000000001E-3</v>
      </c>
      <c r="E20" s="1481" t="s">
        <v>495</v>
      </c>
      <c r="F20" s="1482">
        <f t="shared" si="0"/>
        <v>92218</v>
      </c>
      <c r="G20" s="594">
        <f t="shared" si="0"/>
        <v>461</v>
      </c>
      <c r="H20" s="594">
        <v>0</v>
      </c>
      <c r="I20" s="594">
        <f ca="1">INT(D20*H20)</f>
        <v>0</v>
      </c>
      <c r="J20" s="594">
        <f ca="1">'테라토10-단가적용'!J14</f>
        <v>92218</v>
      </c>
      <c r="K20" s="594">
        <f>INT(D20*J20)</f>
        <v>461</v>
      </c>
      <c r="L20" s="594">
        <v>0</v>
      </c>
      <c r="M20" s="594">
        <f>INT(D20*L20)</f>
        <v>0</v>
      </c>
      <c r="N20" s="1483"/>
    </row>
    <row r="21" spans="1:14" s="1479" customFormat="1" ht="20.100000000000001" customHeight="1">
      <c r="A21" s="1626" t="s">
        <v>504</v>
      </c>
      <c r="B21" s="1627"/>
      <c r="C21" s="1480"/>
      <c r="D21" s="1309">
        <v>0.02</v>
      </c>
      <c r="E21" s="1481" t="s">
        <v>495</v>
      </c>
      <c r="F21" s="1482">
        <f t="shared" si="0"/>
        <v>84404</v>
      </c>
      <c r="G21" s="594">
        <f t="shared" si="0"/>
        <v>1688</v>
      </c>
      <c r="H21" s="594">
        <v>0</v>
      </c>
      <c r="I21" s="594">
        <f ca="1">INT(D21*H21)</f>
        <v>0</v>
      </c>
      <c r="J21" s="594">
        <f ca="1">'테라토10-단가적용'!J13</f>
        <v>84404</v>
      </c>
      <c r="K21" s="594">
        <f>INT(D21*J21)</f>
        <v>1688</v>
      </c>
      <c r="L21" s="594">
        <v>0</v>
      </c>
      <c r="M21" s="594">
        <f>INT(D21*L21)</f>
        <v>0</v>
      </c>
      <c r="N21" s="1483"/>
    </row>
    <row r="22" spans="1:14" s="1479" customFormat="1" ht="20.100000000000001" customHeight="1">
      <c r="A22" s="1626" t="s">
        <v>496</v>
      </c>
      <c r="B22" s="1627"/>
      <c r="C22" s="1480"/>
      <c r="D22" s="1309">
        <v>0.02</v>
      </c>
      <c r="E22" s="1481" t="s">
        <v>495</v>
      </c>
      <c r="F22" s="1482">
        <f t="shared" si="0"/>
        <v>68965</v>
      </c>
      <c r="G22" s="594">
        <f t="shared" si="0"/>
        <v>1379</v>
      </c>
      <c r="H22" s="594">
        <v>0</v>
      </c>
      <c r="I22" s="594">
        <f ca="1">INT(D22*H22)</f>
        <v>0</v>
      </c>
      <c r="J22" s="594">
        <f ca="1">'테라토10-단가적용'!J12</f>
        <v>68965</v>
      </c>
      <c r="K22" s="594">
        <f>INT(D22*J22)</f>
        <v>1379</v>
      </c>
      <c r="L22" s="594">
        <v>0</v>
      </c>
      <c r="M22" s="594">
        <f>INT(D22*L22)</f>
        <v>0</v>
      </c>
      <c r="N22" s="1483"/>
    </row>
    <row r="23" spans="1:14" s="1479" customFormat="1" ht="20.100000000000001" customHeight="1">
      <c r="A23" s="1628" t="s">
        <v>497</v>
      </c>
      <c r="B23" s="1629"/>
      <c r="C23" s="1480"/>
      <c r="D23" s="1480"/>
      <c r="E23" s="1480"/>
      <c r="F23" s="1480"/>
      <c r="G23" s="594">
        <f>SUM(G18:G22)</f>
        <v>8078</v>
      </c>
      <c r="H23" s="594"/>
      <c r="I23" s="594">
        <f ca="1">SUM(I18:I22)</f>
        <v>4550</v>
      </c>
      <c r="J23" s="594"/>
      <c r="K23" s="594">
        <f>SUM(K18:K22)</f>
        <v>3528</v>
      </c>
      <c r="L23" s="594"/>
      <c r="M23" s="594">
        <f>SUM(M18:M22)</f>
        <v>0</v>
      </c>
      <c r="N23" s="1483"/>
    </row>
    <row r="24" spans="1:14" s="1479" customFormat="1" ht="20.100000000000001" customHeight="1">
      <c r="A24" s="1630" t="s">
        <v>513</v>
      </c>
      <c r="B24" s="1631"/>
      <c r="C24" s="1631"/>
      <c r="D24" s="1631"/>
      <c r="E24" s="1631"/>
      <c r="F24" s="1308"/>
      <c r="G24" s="1480"/>
      <c r="H24" s="1480"/>
      <c r="I24" s="1480"/>
      <c r="J24" s="1480"/>
      <c r="K24" s="1480"/>
      <c r="L24" s="1480"/>
      <c r="M24" s="1480"/>
      <c r="N24" s="1215" t="s">
        <v>490</v>
      </c>
    </row>
    <row r="25" spans="1:14" s="1479" customFormat="1" ht="20.100000000000001" customHeight="1">
      <c r="A25" s="1626" t="s">
        <v>514</v>
      </c>
      <c r="B25" s="1627"/>
      <c r="C25" s="1481" t="s">
        <v>515</v>
      </c>
      <c r="D25" s="1484">
        <v>4.3999999999999997E-2</v>
      </c>
      <c r="E25" s="1481" t="s">
        <v>516</v>
      </c>
      <c r="F25" s="1482">
        <f t="shared" ref="F25:F37" si="1">SUM(H25,J25,L25)</f>
        <v>185000</v>
      </c>
      <c r="G25" s="594">
        <f t="shared" ref="G25:G37" si="2">SUM(I25,K25,M25)</f>
        <v>8140</v>
      </c>
      <c r="H25" s="594">
        <f ca="1">'테라토10-단가적용'!J9</f>
        <v>185000</v>
      </c>
      <c r="I25" s="594">
        <f t="shared" ref="I25:I37" si="3">INT(D25*H25)</f>
        <v>8140</v>
      </c>
      <c r="J25" s="594">
        <v>0</v>
      </c>
      <c r="K25" s="594">
        <f t="shared" ref="K25:K37" si="4">INT(D25*J25)</f>
        <v>0</v>
      </c>
      <c r="L25" s="594">
        <v>0</v>
      </c>
      <c r="M25" s="594">
        <f t="shared" ref="M25:M37" si="5">INT(D25*L25)</f>
        <v>0</v>
      </c>
      <c r="N25" s="1483"/>
    </row>
    <row r="26" spans="1:14" s="1479" customFormat="1" ht="20.100000000000001" customHeight="1">
      <c r="A26" s="1626" t="s">
        <v>517</v>
      </c>
      <c r="B26" s="1627"/>
      <c r="C26" s="1481" t="s">
        <v>518</v>
      </c>
      <c r="D26" s="1485">
        <v>0.12</v>
      </c>
      <c r="E26" s="1481" t="s">
        <v>519</v>
      </c>
      <c r="F26" s="1482">
        <f t="shared" si="1"/>
        <v>50000</v>
      </c>
      <c r="G26" s="594">
        <f t="shared" si="2"/>
        <v>6000</v>
      </c>
      <c r="H26" s="594">
        <f ca="1">'테라토10-단가적용'!J5</f>
        <v>50000</v>
      </c>
      <c r="I26" s="594">
        <f t="shared" si="3"/>
        <v>6000</v>
      </c>
      <c r="J26" s="594">
        <v>0</v>
      </c>
      <c r="K26" s="594">
        <f t="shared" si="4"/>
        <v>0</v>
      </c>
      <c r="L26" s="594">
        <v>0</v>
      </c>
      <c r="M26" s="594">
        <f t="shared" si="5"/>
        <v>0</v>
      </c>
      <c r="N26" s="1483"/>
    </row>
    <row r="27" spans="1:14" s="1479" customFormat="1" ht="20.100000000000001" customHeight="1">
      <c r="A27" s="1626" t="s">
        <v>520</v>
      </c>
      <c r="B27" s="1627"/>
      <c r="C27" s="1481" t="s">
        <v>521</v>
      </c>
      <c r="D27" s="1484">
        <v>0.08</v>
      </c>
      <c r="E27" s="1481" t="s">
        <v>522</v>
      </c>
      <c r="F27" s="1482">
        <f t="shared" si="1"/>
        <v>24583.103999999999</v>
      </c>
      <c r="G27" s="594">
        <f t="shared" si="2"/>
        <v>1966</v>
      </c>
      <c r="H27" s="594">
        <v>0</v>
      </c>
      <c r="I27" s="594">
        <f t="shared" si="3"/>
        <v>0</v>
      </c>
      <c r="J27" s="594">
        <v>0</v>
      </c>
      <c r="K27" s="594">
        <f t="shared" si="4"/>
        <v>0</v>
      </c>
      <c r="L27" s="594">
        <f ca="1">'테라토10-장비'!F33</f>
        <v>24583.103999999999</v>
      </c>
      <c r="M27" s="594">
        <f t="shared" si="5"/>
        <v>1966</v>
      </c>
      <c r="N27" s="1483"/>
    </row>
    <row r="28" spans="1:14" s="1479" customFormat="1" ht="20.100000000000001" customHeight="1">
      <c r="A28" s="1626" t="s">
        <v>523</v>
      </c>
      <c r="B28" s="1627"/>
      <c r="C28" s="1481" t="s">
        <v>524</v>
      </c>
      <c r="D28" s="1484">
        <v>0.08</v>
      </c>
      <c r="E28" s="1481" t="s">
        <v>522</v>
      </c>
      <c r="F28" s="1482">
        <f t="shared" si="1"/>
        <v>62115.6</v>
      </c>
      <c r="G28" s="594">
        <f t="shared" si="2"/>
        <v>4968</v>
      </c>
      <c r="H28" s="594">
        <f ca="1">'테라토10-장비'!F47</f>
        <v>35879</v>
      </c>
      <c r="I28" s="594">
        <f t="shared" si="3"/>
        <v>2870</v>
      </c>
      <c r="J28" s="594">
        <f ca="1">'테라토10-장비'!F51</f>
        <v>20561</v>
      </c>
      <c r="K28" s="594">
        <f t="shared" si="4"/>
        <v>1644</v>
      </c>
      <c r="L28" s="594">
        <f ca="1">'테라토10-장비'!F53</f>
        <v>5675.5999999999995</v>
      </c>
      <c r="M28" s="594">
        <f t="shared" si="5"/>
        <v>454</v>
      </c>
      <c r="N28" s="1483"/>
    </row>
    <row r="29" spans="1:14" s="1479" customFormat="1" ht="20.100000000000001" customHeight="1">
      <c r="A29" s="1626" t="s">
        <v>491</v>
      </c>
      <c r="B29" s="1627"/>
      <c r="C29" s="1481" t="s">
        <v>492</v>
      </c>
      <c r="D29" s="1486">
        <v>0.08</v>
      </c>
      <c r="E29" s="1481" t="s">
        <v>522</v>
      </c>
      <c r="F29" s="1482">
        <f t="shared" si="1"/>
        <v>38821</v>
      </c>
      <c r="G29" s="594">
        <f t="shared" si="2"/>
        <v>3104</v>
      </c>
      <c r="H29" s="594">
        <f ca="1">'테라토10-장비'!F7</f>
        <v>14606</v>
      </c>
      <c r="I29" s="594">
        <f t="shared" si="3"/>
        <v>1168</v>
      </c>
      <c r="J29" s="594">
        <f ca="1">'테라토10-장비'!F11</f>
        <v>20561</v>
      </c>
      <c r="K29" s="594">
        <f t="shared" si="4"/>
        <v>1644</v>
      </c>
      <c r="L29" s="594">
        <f ca="1">'테라토10-장비'!F13</f>
        <v>3654</v>
      </c>
      <c r="M29" s="594">
        <f t="shared" si="5"/>
        <v>292</v>
      </c>
      <c r="N29" s="1483"/>
    </row>
    <row r="30" spans="1:14" s="1479" customFormat="1" ht="20.100000000000001" customHeight="1">
      <c r="A30" s="1626" t="s">
        <v>525</v>
      </c>
      <c r="B30" s="1627"/>
      <c r="C30" s="1481" t="s">
        <v>526</v>
      </c>
      <c r="D30" s="1486">
        <v>0.09</v>
      </c>
      <c r="E30" s="1481" t="s">
        <v>522</v>
      </c>
      <c r="F30" s="1482">
        <f t="shared" si="1"/>
        <v>55058</v>
      </c>
      <c r="G30" s="594">
        <f t="shared" si="2"/>
        <v>4954</v>
      </c>
      <c r="H30" s="594">
        <f ca="1">'테라토10-장비'!F107</f>
        <v>7132</v>
      </c>
      <c r="I30" s="594">
        <f t="shared" si="3"/>
        <v>641</v>
      </c>
      <c r="J30" s="594">
        <f ca="1">'테라토10-장비'!F111</f>
        <v>24490</v>
      </c>
      <c r="K30" s="594">
        <f t="shared" si="4"/>
        <v>2204</v>
      </c>
      <c r="L30" s="594">
        <f ca="1">'테라토10-장비'!F113</f>
        <v>23436</v>
      </c>
      <c r="M30" s="594">
        <f t="shared" si="5"/>
        <v>2109</v>
      </c>
      <c r="N30" s="1483"/>
    </row>
    <row r="31" spans="1:14" s="1479" customFormat="1" ht="20.100000000000001" customHeight="1">
      <c r="A31" s="1626" t="s">
        <v>527</v>
      </c>
      <c r="B31" s="1627"/>
      <c r="C31" s="1481"/>
      <c r="D31" s="1486">
        <v>2.5000000000000001E-2</v>
      </c>
      <c r="E31" s="1481" t="s">
        <v>522</v>
      </c>
      <c r="F31" s="1482">
        <f t="shared" si="1"/>
        <v>13582.15</v>
      </c>
      <c r="G31" s="594">
        <f t="shared" si="2"/>
        <v>338</v>
      </c>
      <c r="H31" s="594">
        <f ca="1">'테라토10-장비'!F167</f>
        <v>102.85000000000001</v>
      </c>
      <c r="I31" s="594">
        <f t="shared" si="3"/>
        <v>2</v>
      </c>
      <c r="J31" s="594">
        <f ca="1">'테라토10-장비'!F171</f>
        <v>10260</v>
      </c>
      <c r="K31" s="594">
        <f t="shared" si="4"/>
        <v>256</v>
      </c>
      <c r="L31" s="594">
        <f ca="1">'테라토10-장비'!F173</f>
        <v>3219.2999999999997</v>
      </c>
      <c r="M31" s="594">
        <f t="shared" si="5"/>
        <v>80</v>
      </c>
      <c r="N31" s="1483"/>
    </row>
    <row r="32" spans="1:14" s="1479" customFormat="1" ht="20.100000000000001" customHeight="1">
      <c r="A32" s="1626" t="s">
        <v>528</v>
      </c>
      <c r="B32" s="1627"/>
      <c r="C32" s="1481" t="s">
        <v>529</v>
      </c>
      <c r="D32" s="1487">
        <v>2.3E-3</v>
      </c>
      <c r="E32" s="1481" t="s">
        <v>530</v>
      </c>
      <c r="F32" s="1482">
        <f t="shared" si="1"/>
        <v>18000</v>
      </c>
      <c r="G32" s="594">
        <f t="shared" si="2"/>
        <v>41</v>
      </c>
      <c r="H32" s="594">
        <f ca="1">'테라토10-단가적용'!J8</f>
        <v>18000</v>
      </c>
      <c r="I32" s="594">
        <f t="shared" si="3"/>
        <v>41</v>
      </c>
      <c r="J32" s="594"/>
      <c r="K32" s="594">
        <f t="shared" si="4"/>
        <v>0</v>
      </c>
      <c r="L32" s="594"/>
      <c r="M32" s="594">
        <f t="shared" si="5"/>
        <v>0</v>
      </c>
      <c r="N32" s="1488"/>
    </row>
    <row r="33" spans="1:14" s="1479" customFormat="1" ht="20.100000000000001" customHeight="1">
      <c r="A33" s="1626" t="s">
        <v>531</v>
      </c>
      <c r="B33" s="1627"/>
      <c r="C33" s="1481" t="s">
        <v>532</v>
      </c>
      <c r="D33" s="1486">
        <v>0.08</v>
      </c>
      <c r="E33" s="1481" t="s">
        <v>522</v>
      </c>
      <c r="F33" s="1482">
        <f t="shared" si="1"/>
        <v>41691.918900000004</v>
      </c>
      <c r="G33" s="594">
        <f t="shared" si="2"/>
        <v>3334</v>
      </c>
      <c r="H33" s="594">
        <f ca="1">'테라토10-장비'!F147</f>
        <v>15017</v>
      </c>
      <c r="I33" s="594">
        <f t="shared" si="3"/>
        <v>1201</v>
      </c>
      <c r="J33" s="594">
        <f ca="1">'테라토10-장비'!F151</f>
        <v>20557</v>
      </c>
      <c r="K33" s="594">
        <f t="shared" si="4"/>
        <v>1644</v>
      </c>
      <c r="L33" s="594">
        <f ca="1">'테라토10-장비'!F153</f>
        <v>6117.9189000000006</v>
      </c>
      <c r="M33" s="594">
        <f t="shared" si="5"/>
        <v>489</v>
      </c>
      <c r="N33" s="1483"/>
    </row>
    <row r="34" spans="1:14" s="1479" customFormat="1" ht="20.100000000000001" customHeight="1">
      <c r="A34" s="1626" t="s">
        <v>512</v>
      </c>
      <c r="B34" s="1627"/>
      <c r="C34" s="1481"/>
      <c r="D34" s="1486">
        <v>7.0000000000000001E-3</v>
      </c>
      <c r="E34" s="1481" t="s">
        <v>495</v>
      </c>
      <c r="F34" s="1482">
        <f t="shared" si="1"/>
        <v>92218</v>
      </c>
      <c r="G34" s="594">
        <f t="shared" si="2"/>
        <v>645</v>
      </c>
      <c r="H34" s="594">
        <v>0</v>
      </c>
      <c r="I34" s="594">
        <f t="shared" si="3"/>
        <v>0</v>
      </c>
      <c r="J34" s="594">
        <f ca="1">'테라토10-단가적용'!J14</f>
        <v>92218</v>
      </c>
      <c r="K34" s="594">
        <f t="shared" si="4"/>
        <v>645</v>
      </c>
      <c r="L34" s="594">
        <v>0</v>
      </c>
      <c r="M34" s="594">
        <f t="shared" si="5"/>
        <v>0</v>
      </c>
      <c r="N34" s="1483"/>
    </row>
    <row r="35" spans="1:14" s="1479" customFormat="1" ht="20.100000000000001" customHeight="1">
      <c r="A35" s="1626" t="s">
        <v>504</v>
      </c>
      <c r="B35" s="1627"/>
      <c r="C35" s="1481"/>
      <c r="D35" s="1486">
        <v>3.3000000000000002E-2</v>
      </c>
      <c r="E35" s="1481" t="s">
        <v>495</v>
      </c>
      <c r="F35" s="1482">
        <f t="shared" si="1"/>
        <v>84404</v>
      </c>
      <c r="G35" s="594">
        <f t="shared" si="2"/>
        <v>2785</v>
      </c>
      <c r="H35" s="594">
        <v>0</v>
      </c>
      <c r="I35" s="594">
        <f t="shared" si="3"/>
        <v>0</v>
      </c>
      <c r="J35" s="594">
        <f ca="1">'테라토10-단가적용'!J13</f>
        <v>84404</v>
      </c>
      <c r="K35" s="594">
        <f t="shared" si="4"/>
        <v>2785</v>
      </c>
      <c r="L35" s="594">
        <v>0</v>
      </c>
      <c r="M35" s="594">
        <f t="shared" si="5"/>
        <v>0</v>
      </c>
      <c r="N35" s="1483"/>
    </row>
    <row r="36" spans="1:14" s="1479" customFormat="1" ht="20.100000000000001" customHeight="1">
      <c r="A36" s="1626" t="s">
        <v>533</v>
      </c>
      <c r="B36" s="1627"/>
      <c r="C36" s="1481"/>
      <c r="D36" s="1486">
        <v>7.0000000000000001E-3</v>
      </c>
      <c r="E36" s="1481" t="s">
        <v>495</v>
      </c>
      <c r="F36" s="1482">
        <f t="shared" si="1"/>
        <v>86521</v>
      </c>
      <c r="G36" s="594">
        <f t="shared" si="2"/>
        <v>605</v>
      </c>
      <c r="H36" s="594">
        <v>0</v>
      </c>
      <c r="I36" s="594">
        <f t="shared" si="3"/>
        <v>0</v>
      </c>
      <c r="J36" s="594">
        <f ca="1">'테라토10-단가적용'!J15</f>
        <v>86521</v>
      </c>
      <c r="K36" s="594">
        <f t="shared" si="4"/>
        <v>605</v>
      </c>
      <c r="L36" s="594">
        <v>0</v>
      </c>
      <c r="M36" s="594">
        <f t="shared" si="5"/>
        <v>0</v>
      </c>
      <c r="N36" s="1483"/>
    </row>
    <row r="37" spans="1:14" s="1479" customFormat="1" ht="20.100000000000001" customHeight="1">
      <c r="A37" s="1626" t="s">
        <v>496</v>
      </c>
      <c r="B37" s="1627"/>
      <c r="C37" s="1481"/>
      <c r="D37" s="1486">
        <v>6.8000000000000005E-2</v>
      </c>
      <c r="E37" s="1481" t="s">
        <v>495</v>
      </c>
      <c r="F37" s="1482">
        <f t="shared" si="1"/>
        <v>68965</v>
      </c>
      <c r="G37" s="594">
        <f t="shared" si="2"/>
        <v>4689</v>
      </c>
      <c r="H37" s="594">
        <v>0</v>
      </c>
      <c r="I37" s="594">
        <f t="shared" si="3"/>
        <v>0</v>
      </c>
      <c r="J37" s="594">
        <f ca="1">'테라토10-단가적용'!J12</f>
        <v>68965</v>
      </c>
      <c r="K37" s="594">
        <f t="shared" si="4"/>
        <v>4689</v>
      </c>
      <c r="L37" s="594">
        <v>0</v>
      </c>
      <c r="M37" s="594">
        <f t="shared" si="5"/>
        <v>0</v>
      </c>
      <c r="N37" s="1483"/>
    </row>
    <row r="38" spans="1:14" s="1479" customFormat="1" ht="20.100000000000001" customHeight="1">
      <c r="A38" s="1628" t="s">
        <v>497</v>
      </c>
      <c r="B38" s="1629"/>
      <c r="C38" s="1481"/>
      <c r="D38" s="1480"/>
      <c r="E38" s="1480"/>
      <c r="F38" s="1480"/>
      <c r="G38" s="1489">
        <f>SUM(G25:G37)</f>
        <v>41569</v>
      </c>
      <c r="H38" s="594"/>
      <c r="I38" s="1489">
        <f>SUM(I25:I37)</f>
        <v>20063</v>
      </c>
      <c r="J38" s="594"/>
      <c r="K38" s="1489">
        <f>SUM(K25:K37)</f>
        <v>16116</v>
      </c>
      <c r="L38" s="594"/>
      <c r="M38" s="1489">
        <f>SUM(M25:M37)</f>
        <v>5390</v>
      </c>
      <c r="N38" s="1483"/>
    </row>
    <row r="39" spans="1:14" s="1479" customFormat="1" ht="20.100000000000001" customHeight="1">
      <c r="A39" s="1490"/>
      <c r="B39" s="1491"/>
      <c r="C39" s="1481"/>
      <c r="D39" s="1480"/>
      <c r="E39" s="1480"/>
      <c r="F39" s="1480"/>
      <c r="G39" s="1489"/>
      <c r="H39" s="594"/>
      <c r="I39" s="1489"/>
      <c r="J39" s="594"/>
      <c r="K39" s="1489"/>
      <c r="L39" s="594"/>
      <c r="M39" s="1489"/>
      <c r="N39" s="1483"/>
    </row>
    <row r="40" spans="1:14" s="1479" customFormat="1" ht="20.100000000000001" customHeight="1">
      <c r="A40" s="1626" t="s">
        <v>534</v>
      </c>
      <c r="B40" s="1627"/>
      <c r="C40" s="1481" t="s">
        <v>535</v>
      </c>
      <c r="D40" s="1486"/>
      <c r="E40" s="1481"/>
      <c r="F40" s="1482"/>
      <c r="G40" s="594">
        <f>SUM(I40,K40,M40)</f>
        <v>601</v>
      </c>
      <c r="H40" s="594"/>
      <c r="I40" s="594">
        <f>INT(I38*3%)</f>
        <v>601</v>
      </c>
      <c r="J40" s="594"/>
      <c r="K40" s="594"/>
      <c r="L40" s="594"/>
      <c r="M40" s="594"/>
      <c r="N40" s="1483"/>
    </row>
    <row r="41" spans="1:14" s="1479" customFormat="1" ht="20.100000000000001" customHeight="1">
      <c r="A41" s="1626" t="s">
        <v>536</v>
      </c>
      <c r="B41" s="1627"/>
      <c r="C41" s="1481" t="s">
        <v>537</v>
      </c>
      <c r="D41" s="1486"/>
      <c r="E41" s="1481"/>
      <c r="F41" s="1482"/>
      <c r="G41" s="594">
        <f>SUM(I41,K41,M41)</f>
        <v>322</v>
      </c>
      <c r="H41" s="594"/>
      <c r="I41" s="594"/>
      <c r="J41" s="594"/>
      <c r="K41" s="594">
        <f>INT(K38*2%)</f>
        <v>322</v>
      </c>
      <c r="L41" s="594"/>
      <c r="M41" s="594"/>
      <c r="N41" s="1483"/>
    </row>
    <row r="42" spans="1:14" s="1479" customFormat="1" ht="20.100000000000001" customHeight="1">
      <c r="A42" s="1626"/>
      <c r="B42" s="1627"/>
      <c r="C42" s="1481"/>
      <c r="D42" s="1486"/>
      <c r="E42" s="1481"/>
      <c r="F42" s="1482"/>
      <c r="G42" s="594"/>
      <c r="H42" s="594"/>
      <c r="I42" s="594"/>
      <c r="J42" s="594"/>
      <c r="K42" s="594"/>
      <c r="L42" s="594"/>
      <c r="M42" s="594"/>
      <c r="N42" s="1483"/>
    </row>
    <row r="43" spans="1:14" s="1479" customFormat="1" ht="20.100000000000001" customHeight="1">
      <c r="A43" s="1628" t="s">
        <v>538</v>
      </c>
      <c r="B43" s="1629"/>
      <c r="C43" s="1481"/>
      <c r="D43" s="1486"/>
      <c r="E43" s="1481"/>
      <c r="F43" s="1482"/>
      <c r="G43" s="594">
        <f>SUM(I43,K43,M43)</f>
        <v>54344</v>
      </c>
      <c r="H43" s="594"/>
      <c r="I43" s="594">
        <f>I41+I40+I38+I23+I14+I7</f>
        <v>25829</v>
      </c>
      <c r="J43" s="594"/>
      <c r="K43" s="594">
        <f>K41+K40+K38+K23+K14+K7</f>
        <v>23056</v>
      </c>
      <c r="L43" s="594"/>
      <c r="M43" s="594">
        <f>M41+M40+M38+M23+M14+M7</f>
        <v>5459</v>
      </c>
      <c r="N43" s="1483"/>
    </row>
  </sheetData>
  <mergeCells count="47">
    <mergeCell ref="A12:B12"/>
    <mergeCell ref="A23:B23"/>
    <mergeCell ref="A13:B13"/>
    <mergeCell ref="A19:B19"/>
    <mergeCell ref="A20:B20"/>
    <mergeCell ref="A21:B21"/>
    <mergeCell ref="A17:E17"/>
    <mergeCell ref="L1:M1"/>
    <mergeCell ref="A10:B10"/>
    <mergeCell ref="F1:G1"/>
    <mergeCell ref="A1:B2"/>
    <mergeCell ref="C1:C2"/>
    <mergeCell ref="D1:D2"/>
    <mergeCell ref="N1:N2"/>
    <mergeCell ref="E1:E2"/>
    <mergeCell ref="H1:I1"/>
    <mergeCell ref="J1:K1"/>
    <mergeCell ref="A11:B11"/>
    <mergeCell ref="A8:B8"/>
    <mergeCell ref="A7:B7"/>
    <mergeCell ref="A6:B6"/>
    <mergeCell ref="A4:B4"/>
    <mergeCell ref="A5:B5"/>
    <mergeCell ref="A14:B14"/>
    <mergeCell ref="A16:B16"/>
    <mergeCell ref="A15:B15"/>
    <mergeCell ref="A24:E24"/>
    <mergeCell ref="A18:B18"/>
    <mergeCell ref="A22:B22"/>
    <mergeCell ref="A35:B35"/>
    <mergeCell ref="A32:B32"/>
    <mergeCell ref="A31:B31"/>
    <mergeCell ref="A25:B25"/>
    <mergeCell ref="A26:B26"/>
    <mergeCell ref="A36:B36"/>
    <mergeCell ref="A27:B27"/>
    <mergeCell ref="A28:B28"/>
    <mergeCell ref="A29:B29"/>
    <mergeCell ref="A30:B30"/>
    <mergeCell ref="A33:B33"/>
    <mergeCell ref="A34:B34"/>
    <mergeCell ref="A43:B43"/>
    <mergeCell ref="A38:B38"/>
    <mergeCell ref="A40:B40"/>
    <mergeCell ref="A41:B41"/>
    <mergeCell ref="A42:B42"/>
    <mergeCell ref="A37:B37"/>
  </mergeCells>
  <phoneticPr fontId="116" type="noConversion"/>
  <pageMargins left="0.5" right="0.5" top="1.0900000000000001" bottom="0.65" header="0.61" footer="0.39370078740157483"/>
  <pageSetup paperSize="9" scale="95" orientation="landscape" horizontalDpi="300" verticalDpi="300" r:id="rId1"/>
  <headerFooter alignWithMargins="0">
    <oddHeader>&amp;C&amp;"굴림,보통"&amp;16일  위  대   가  표 (테라토T=10)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180"/>
  <sheetViews>
    <sheetView topLeftCell="A137" zoomScale="75" workbookViewId="0">
      <selection activeCell="A6" sqref="A6:F6"/>
    </sheetView>
  </sheetViews>
  <sheetFormatPr defaultColWidth="8" defaultRowHeight="13.5"/>
  <cols>
    <col min="1" max="1" width="21.109375" style="1466" customWidth="1"/>
    <col min="2" max="2" width="20.88671875" style="1466" customWidth="1"/>
    <col min="3" max="3" width="12.21875" style="1466" customWidth="1"/>
    <col min="4" max="4" width="6.109375" style="1466" customWidth="1"/>
    <col min="5" max="5" width="15" style="1466" customWidth="1"/>
    <col min="6" max="6" width="19.33203125" style="1466" customWidth="1"/>
    <col min="7" max="7" width="21.21875" style="1466" customWidth="1"/>
    <col min="8" max="16384" width="8" style="1466"/>
  </cols>
  <sheetData>
    <row r="1" spans="1:7" ht="21.95" customHeight="1">
      <c r="A1" s="1324" t="s">
        <v>539</v>
      </c>
      <c r="B1" s="1325"/>
      <c r="C1" s="1325"/>
      <c r="D1" s="1325"/>
      <c r="E1" s="1325"/>
      <c r="F1" s="1325"/>
      <c r="G1" s="1326"/>
    </row>
    <row r="2" spans="1:7" ht="21.95" customHeight="1">
      <c r="A2" s="1327"/>
      <c r="B2" s="1328"/>
      <c r="C2" s="1328"/>
      <c r="D2" s="1328"/>
      <c r="E2" s="1328"/>
      <c r="F2" s="1328"/>
      <c r="G2" s="1329"/>
    </row>
    <row r="3" spans="1:7" ht="21.95" customHeight="1">
      <c r="A3" s="1330" t="s">
        <v>540</v>
      </c>
      <c r="B3" s="1331"/>
      <c r="C3" s="1331"/>
      <c r="D3" s="1331"/>
      <c r="E3" s="1331"/>
      <c r="F3" s="1331"/>
      <c r="G3" s="1332"/>
    </row>
    <row r="4" spans="1:7" ht="21.95" customHeight="1">
      <c r="A4" s="1333" t="s">
        <v>137</v>
      </c>
      <c r="B4" s="1334" t="s">
        <v>541</v>
      </c>
      <c r="C4" s="1334" t="s">
        <v>2148</v>
      </c>
      <c r="D4" s="1334" t="s">
        <v>140</v>
      </c>
      <c r="E4" s="1334" t="s">
        <v>542</v>
      </c>
      <c r="F4" s="1334" t="s">
        <v>543</v>
      </c>
      <c r="G4" s="1335" t="s">
        <v>544</v>
      </c>
    </row>
    <row r="5" spans="1:7" ht="21.95" customHeight="1">
      <c r="A5" s="1336" t="s">
        <v>2149</v>
      </c>
      <c r="B5" s="1337" t="s">
        <v>545</v>
      </c>
      <c r="C5" s="1338">
        <v>8.6999999999999993</v>
      </c>
      <c r="D5" s="1337" t="s">
        <v>546</v>
      </c>
      <c r="E5" s="1339">
        <f ca="1">'테라토10-단가적용'!J10</f>
        <v>1322</v>
      </c>
      <c r="F5" s="1339">
        <f>ROUNDDOWN(C5*E5,0)</f>
        <v>11501</v>
      </c>
      <c r="G5" s="1340"/>
    </row>
    <row r="6" spans="1:7" ht="21.95" customHeight="1">
      <c r="A6" s="1341"/>
      <c r="B6" s="1342" t="s">
        <v>547</v>
      </c>
      <c r="C6" s="1343">
        <v>24</v>
      </c>
      <c r="D6" s="1342" t="s">
        <v>861</v>
      </c>
      <c r="E6" s="1344"/>
      <c r="F6" s="1344">
        <f>ROUNDDOWN(F5*27%,0)</f>
        <v>3105</v>
      </c>
      <c r="G6" s="1345"/>
    </row>
    <row r="7" spans="1:7" ht="21.95" customHeight="1">
      <c r="A7" s="1346"/>
      <c r="B7" s="1347" t="s">
        <v>1947</v>
      </c>
      <c r="C7" s="1348"/>
      <c r="D7" s="1347"/>
      <c r="E7" s="1348"/>
      <c r="F7" s="1349">
        <f>SUM(F5:F6)</f>
        <v>14606</v>
      </c>
      <c r="G7" s="1350"/>
    </row>
    <row r="8" spans="1:7" ht="21.95" customHeight="1">
      <c r="A8" s="1351" t="s">
        <v>2150</v>
      </c>
      <c r="B8" s="1352" t="s">
        <v>548</v>
      </c>
      <c r="C8" s="1353">
        <v>1</v>
      </c>
      <c r="D8" s="1352" t="s">
        <v>1221</v>
      </c>
      <c r="E8" s="1354">
        <f ca="1">'테라토10-장비기준'!S11</f>
        <v>20561</v>
      </c>
      <c r="F8" s="1354">
        <f>ROUNDDOWN(C8*E8,0)</f>
        <v>20561</v>
      </c>
      <c r="G8" s="1355"/>
    </row>
    <row r="9" spans="1:7" ht="21.95" customHeight="1">
      <c r="A9" s="1341"/>
      <c r="B9" s="1342" t="s">
        <v>549</v>
      </c>
      <c r="C9" s="1356">
        <v>0</v>
      </c>
      <c r="D9" s="1342" t="s">
        <v>1221</v>
      </c>
      <c r="E9" s="1357">
        <f ca="1">'테라토10-장비기준'!S12</f>
        <v>11517</v>
      </c>
      <c r="F9" s="1357">
        <f>ROUNDDOWN(C9*E9,0)</f>
        <v>0</v>
      </c>
      <c r="G9" s="1345"/>
    </row>
    <row r="10" spans="1:7" ht="21.95" customHeight="1">
      <c r="A10" s="1341"/>
      <c r="B10" s="1342" t="s">
        <v>550</v>
      </c>
      <c r="C10" s="1356">
        <v>0</v>
      </c>
      <c r="D10" s="1342" t="s">
        <v>1221</v>
      </c>
      <c r="E10" s="1357">
        <f ca="1">'테라토10-장비기준'!S13</f>
        <v>19656</v>
      </c>
      <c r="F10" s="1357">
        <f>ROUNDDOWN(C10*E10,0)</f>
        <v>0</v>
      </c>
      <c r="G10" s="1345"/>
    </row>
    <row r="11" spans="1:7" ht="21.95" customHeight="1">
      <c r="A11" s="1346"/>
      <c r="B11" s="1347" t="s">
        <v>1947</v>
      </c>
      <c r="C11" s="1348"/>
      <c r="D11" s="1347"/>
      <c r="E11" s="1348"/>
      <c r="F11" s="1349">
        <f>SUM(F8:F10)</f>
        <v>20561</v>
      </c>
      <c r="G11" s="1350"/>
    </row>
    <row r="12" spans="1:7" ht="21.95" customHeight="1">
      <c r="A12" s="1351" t="s">
        <v>2207</v>
      </c>
      <c r="B12" s="1352" t="s">
        <v>2191</v>
      </c>
      <c r="C12" s="1353">
        <v>0.22339999999999999</v>
      </c>
      <c r="D12" s="1352"/>
      <c r="E12" s="1358">
        <v>16360</v>
      </c>
      <c r="F12" s="1358">
        <f>ROUNDDOWN(C12*E12,0)</f>
        <v>3654</v>
      </c>
      <c r="G12" s="1355"/>
    </row>
    <row r="13" spans="1:7" ht="21.95" customHeight="1">
      <c r="A13" s="1346"/>
      <c r="B13" s="1347" t="s">
        <v>1947</v>
      </c>
      <c r="C13" s="1348"/>
      <c r="D13" s="1347"/>
      <c r="E13" s="1348"/>
      <c r="F13" s="1349">
        <f>SUM(F12)</f>
        <v>3654</v>
      </c>
      <c r="G13" s="1350"/>
    </row>
    <row r="14" spans="1:7" ht="21.95" customHeight="1">
      <c r="A14" s="1359"/>
      <c r="B14" s="1360"/>
      <c r="C14" s="1361"/>
      <c r="D14" s="1360"/>
      <c r="E14" s="1361"/>
      <c r="F14" s="1361"/>
      <c r="G14" s="1362"/>
    </row>
    <row r="15" spans="1:7" ht="21.95" customHeight="1">
      <c r="A15" s="1359"/>
      <c r="B15" s="1360"/>
      <c r="C15" s="1361"/>
      <c r="D15" s="1360"/>
      <c r="E15" s="1361"/>
      <c r="F15" s="1361"/>
      <c r="G15" s="1362"/>
    </row>
    <row r="16" spans="1:7" ht="21.95" customHeight="1">
      <c r="A16" s="1359"/>
      <c r="B16" s="1360"/>
      <c r="C16" s="1361"/>
      <c r="D16" s="1360"/>
      <c r="E16" s="1361"/>
      <c r="F16" s="1361"/>
      <c r="G16" s="1362"/>
    </row>
    <row r="17" spans="1:7" ht="21.95" customHeight="1">
      <c r="A17" s="1359"/>
      <c r="B17" s="1360"/>
      <c r="C17" s="1361"/>
      <c r="D17" s="1360"/>
      <c r="E17" s="1361"/>
      <c r="F17" s="1361"/>
      <c r="G17" s="1362"/>
    </row>
    <row r="18" spans="1:7" ht="21.95" customHeight="1">
      <c r="A18" s="1359"/>
      <c r="B18" s="1360"/>
      <c r="C18" s="1361"/>
      <c r="D18" s="1360"/>
      <c r="E18" s="1361"/>
      <c r="F18" s="1361"/>
      <c r="G18" s="1362"/>
    </row>
    <row r="19" spans="1:7" ht="21.95" customHeight="1">
      <c r="A19" s="1359"/>
      <c r="B19" s="1360"/>
      <c r="C19" s="1361"/>
      <c r="D19" s="1360"/>
      <c r="E19" s="1361"/>
      <c r="F19" s="1361"/>
      <c r="G19" s="1362"/>
    </row>
    <row r="20" spans="1:7" ht="21.95" customHeight="1">
      <c r="A20" s="1333" t="s">
        <v>2152</v>
      </c>
      <c r="B20" s="1334"/>
      <c r="C20" s="1363"/>
      <c r="D20" s="1334"/>
      <c r="E20" s="1363"/>
      <c r="F20" s="1364">
        <f>F7+F11+F13</f>
        <v>38821</v>
      </c>
      <c r="G20" s="1365"/>
    </row>
    <row r="21" spans="1:7" ht="21.95" customHeight="1">
      <c r="A21" s="1324" t="s">
        <v>551</v>
      </c>
      <c r="B21" s="1325"/>
      <c r="C21" s="1325"/>
      <c r="D21" s="1325"/>
      <c r="E21" s="1325"/>
      <c r="F21" s="1325"/>
      <c r="G21" s="1326"/>
    </row>
    <row r="22" spans="1:7" ht="21.95" customHeight="1">
      <c r="A22" s="1327"/>
      <c r="B22" s="1328"/>
      <c r="C22" s="1328"/>
      <c r="D22" s="1328"/>
      <c r="E22" s="1328"/>
      <c r="F22" s="1328"/>
      <c r="G22" s="1329"/>
    </row>
    <row r="23" spans="1:7" ht="21.95" customHeight="1">
      <c r="A23" s="1330" t="s">
        <v>552</v>
      </c>
      <c r="B23" s="1331"/>
      <c r="C23" s="1331"/>
      <c r="D23" s="1331"/>
      <c r="E23" s="1331"/>
      <c r="F23" s="1331"/>
      <c r="G23" s="1332"/>
    </row>
    <row r="24" spans="1:7" ht="21.95" customHeight="1">
      <c r="A24" s="1333" t="s">
        <v>137</v>
      </c>
      <c r="B24" s="1334" t="s">
        <v>541</v>
      </c>
      <c r="C24" s="1334" t="s">
        <v>2148</v>
      </c>
      <c r="D24" s="1334" t="s">
        <v>140</v>
      </c>
      <c r="E24" s="1334" t="s">
        <v>542</v>
      </c>
      <c r="F24" s="1334" t="s">
        <v>543</v>
      </c>
      <c r="G24" s="1335" t="s">
        <v>544</v>
      </c>
    </row>
    <row r="25" spans="1:7" ht="21.95" customHeight="1">
      <c r="A25" s="1336" t="s">
        <v>2149</v>
      </c>
      <c r="B25" s="1337" t="s">
        <v>545</v>
      </c>
      <c r="C25" s="1366">
        <v>0</v>
      </c>
      <c r="D25" s="1337" t="s">
        <v>546</v>
      </c>
      <c r="E25" s="1339">
        <f ca="1">'테라토10-단가적용'!J10</f>
        <v>1322</v>
      </c>
      <c r="F25" s="1339">
        <f>ROUNDDOWN(C25*E25,0)</f>
        <v>0</v>
      </c>
      <c r="G25" s="1340"/>
    </row>
    <row r="26" spans="1:7" ht="21.95" customHeight="1">
      <c r="A26" s="1341"/>
      <c r="B26" s="1342" t="s">
        <v>547</v>
      </c>
      <c r="C26" s="1356">
        <v>0</v>
      </c>
      <c r="D26" s="1342" t="s">
        <v>861</v>
      </c>
      <c r="E26" s="1344"/>
      <c r="F26" s="1344">
        <f>ROUNDDOWN(F25*25%,0)</f>
        <v>0</v>
      </c>
      <c r="G26" s="1345"/>
    </row>
    <row r="27" spans="1:7" ht="21.95" customHeight="1">
      <c r="A27" s="1346"/>
      <c r="B27" s="1347" t="s">
        <v>1947</v>
      </c>
      <c r="C27" s="1348"/>
      <c r="D27" s="1347"/>
      <c r="E27" s="1348"/>
      <c r="F27" s="1349">
        <f>SUM(F25:F26)</f>
        <v>0</v>
      </c>
      <c r="G27" s="1350"/>
    </row>
    <row r="28" spans="1:7" ht="21.95" customHeight="1">
      <c r="A28" s="1351" t="s">
        <v>2150</v>
      </c>
      <c r="B28" s="1352" t="s">
        <v>548</v>
      </c>
      <c r="C28" s="1353">
        <v>1</v>
      </c>
      <c r="D28" s="1352" t="s">
        <v>1221</v>
      </c>
      <c r="E28" s="1354">
        <f ca="1">'테라토10-장비기준'!S31</f>
        <v>0</v>
      </c>
      <c r="F28" s="1354">
        <f>ROUNDDOWN(C28*E28,0)</f>
        <v>0</v>
      </c>
      <c r="G28" s="1355"/>
    </row>
    <row r="29" spans="1:7" ht="21.95" customHeight="1">
      <c r="A29" s="1341"/>
      <c r="B29" s="1342" t="s">
        <v>549</v>
      </c>
      <c r="C29" s="1356">
        <v>0</v>
      </c>
      <c r="D29" s="1342" t="s">
        <v>1221</v>
      </c>
      <c r="E29" s="1357">
        <f ca="1">'테라토10-장비기준'!S32</f>
        <v>0</v>
      </c>
      <c r="F29" s="1357">
        <f>ROUNDDOWN(C29*E29,0)</f>
        <v>0</v>
      </c>
      <c r="G29" s="1345"/>
    </row>
    <row r="30" spans="1:7" ht="21.95" customHeight="1">
      <c r="A30" s="1341"/>
      <c r="B30" s="1342" t="s">
        <v>550</v>
      </c>
      <c r="C30" s="1356">
        <v>0</v>
      </c>
      <c r="D30" s="1342" t="s">
        <v>1221</v>
      </c>
      <c r="E30" s="1357">
        <f ca="1">'테라토10-장비기준'!S33</f>
        <v>0</v>
      </c>
      <c r="F30" s="1357">
        <f>ROUNDDOWN(C30*E30,0)</f>
        <v>0</v>
      </c>
      <c r="G30" s="1345"/>
    </row>
    <row r="31" spans="1:7" ht="21.95" customHeight="1">
      <c r="A31" s="1346"/>
      <c r="B31" s="1347" t="s">
        <v>1947</v>
      </c>
      <c r="C31" s="1348"/>
      <c r="D31" s="1347"/>
      <c r="E31" s="1348"/>
      <c r="F31" s="1349">
        <f>SUM(F28:F30)</f>
        <v>0</v>
      </c>
      <c r="G31" s="1350"/>
    </row>
    <row r="32" spans="1:7" ht="21.95" customHeight="1">
      <c r="A32" s="1351" t="s">
        <v>2207</v>
      </c>
      <c r="B32" s="1352" t="s">
        <v>2191</v>
      </c>
      <c r="C32" s="1353">
        <v>0.42209999999999998</v>
      </c>
      <c r="D32" s="1352"/>
      <c r="E32" s="1358">
        <v>58240</v>
      </c>
      <c r="F32" s="1357">
        <f>E32*C32</f>
        <v>24583.103999999999</v>
      </c>
      <c r="G32" s="1355"/>
    </row>
    <row r="33" spans="1:7" ht="21.95" customHeight="1">
      <c r="A33" s="1346"/>
      <c r="B33" s="1347" t="s">
        <v>1947</v>
      </c>
      <c r="C33" s="1348"/>
      <c r="D33" s="1347"/>
      <c r="E33" s="1348"/>
      <c r="F33" s="1349">
        <f>SUM(F32)</f>
        <v>24583.103999999999</v>
      </c>
      <c r="G33" s="1350"/>
    </row>
    <row r="34" spans="1:7" ht="21.95" customHeight="1">
      <c r="A34" s="1359"/>
      <c r="B34" s="1360"/>
      <c r="C34" s="1361"/>
      <c r="D34" s="1360"/>
      <c r="E34" s="1361"/>
      <c r="F34" s="1361"/>
      <c r="G34" s="1362"/>
    </row>
    <row r="35" spans="1:7" ht="21.95" customHeight="1">
      <c r="A35" s="1359"/>
      <c r="B35" s="1360"/>
      <c r="C35" s="1361"/>
      <c r="D35" s="1360"/>
      <c r="E35" s="1361"/>
      <c r="F35" s="1361"/>
      <c r="G35" s="1362"/>
    </row>
    <row r="36" spans="1:7" ht="21.95" customHeight="1">
      <c r="A36" s="1359"/>
      <c r="B36" s="1360"/>
      <c r="C36" s="1361"/>
      <c r="D36" s="1360"/>
      <c r="E36" s="1361"/>
      <c r="F36" s="1361"/>
      <c r="G36" s="1362"/>
    </row>
    <row r="37" spans="1:7" ht="21.95" customHeight="1">
      <c r="A37" s="1359"/>
      <c r="B37" s="1360"/>
      <c r="C37" s="1361"/>
      <c r="D37" s="1360"/>
      <c r="E37" s="1361"/>
      <c r="F37" s="1361"/>
      <c r="G37" s="1362"/>
    </row>
    <row r="38" spans="1:7" ht="21.95" customHeight="1">
      <c r="A38" s="1359"/>
      <c r="B38" s="1360"/>
      <c r="C38" s="1361"/>
      <c r="D38" s="1360"/>
      <c r="E38" s="1361"/>
      <c r="F38" s="1361"/>
      <c r="G38" s="1362"/>
    </row>
    <row r="39" spans="1:7" ht="21.95" customHeight="1">
      <c r="A39" s="1359"/>
      <c r="B39" s="1360"/>
      <c r="C39" s="1361"/>
      <c r="D39" s="1360"/>
      <c r="E39" s="1361"/>
      <c r="F39" s="1361"/>
      <c r="G39" s="1362"/>
    </row>
    <row r="40" spans="1:7" ht="21.95" customHeight="1">
      <c r="A40" s="1333" t="s">
        <v>2152</v>
      </c>
      <c r="B40" s="1334"/>
      <c r="C40" s="1363"/>
      <c r="D40" s="1334"/>
      <c r="E40" s="1363"/>
      <c r="F40" s="1364">
        <f>F27+F31+F33</f>
        <v>24583.103999999999</v>
      </c>
      <c r="G40" s="1365"/>
    </row>
    <row r="41" spans="1:7" ht="21.95" customHeight="1">
      <c r="A41" s="1324" t="s">
        <v>553</v>
      </c>
      <c r="B41" s="1325"/>
      <c r="C41" s="1325"/>
      <c r="D41" s="1325"/>
      <c r="E41" s="1325"/>
      <c r="F41" s="1325"/>
      <c r="G41" s="1326"/>
    </row>
    <row r="42" spans="1:7" ht="21.95" customHeight="1">
      <c r="A42" s="1327"/>
      <c r="B42" s="1328"/>
      <c r="C42" s="1328"/>
      <c r="D42" s="1328"/>
      <c r="E42" s="1328"/>
      <c r="F42" s="1328"/>
      <c r="G42" s="1329"/>
    </row>
    <row r="43" spans="1:7" ht="21.95" customHeight="1">
      <c r="A43" s="1330" t="s">
        <v>554</v>
      </c>
      <c r="B43" s="1331"/>
      <c r="C43" s="1331"/>
      <c r="D43" s="1331"/>
      <c r="E43" s="1331"/>
      <c r="F43" s="1331"/>
      <c r="G43" s="1332"/>
    </row>
    <row r="44" spans="1:7" ht="21.95" customHeight="1">
      <c r="A44" s="1333" t="s">
        <v>137</v>
      </c>
      <c r="B44" s="1334" t="s">
        <v>541</v>
      </c>
      <c r="C44" s="1334" t="s">
        <v>2148</v>
      </c>
      <c r="D44" s="1334" t="s">
        <v>140</v>
      </c>
      <c r="E44" s="1334" t="s">
        <v>542</v>
      </c>
      <c r="F44" s="1334" t="s">
        <v>543</v>
      </c>
      <c r="G44" s="1335" t="s">
        <v>544</v>
      </c>
    </row>
    <row r="45" spans="1:7" ht="21.95" customHeight="1">
      <c r="A45" s="1336" t="s">
        <v>2149</v>
      </c>
      <c r="B45" s="1337" t="s">
        <v>545</v>
      </c>
      <c r="C45" s="1338">
        <v>23</v>
      </c>
      <c r="D45" s="1337" t="s">
        <v>546</v>
      </c>
      <c r="E45" s="1339">
        <f ca="1">'테라토10-단가적용'!J10</f>
        <v>1322</v>
      </c>
      <c r="F45" s="1339">
        <f>ROUNDDOWN(C45*E45,0)</f>
        <v>30406</v>
      </c>
      <c r="G45" s="1340"/>
    </row>
    <row r="46" spans="1:7" ht="21.95" customHeight="1">
      <c r="A46" s="1341"/>
      <c r="B46" s="1342" t="s">
        <v>547</v>
      </c>
      <c r="C46" s="1343">
        <v>16</v>
      </c>
      <c r="D46" s="1342" t="s">
        <v>861</v>
      </c>
      <c r="E46" s="1344"/>
      <c r="F46" s="1344">
        <f>ROUNDDOWN(F45*18%,0)</f>
        <v>5473</v>
      </c>
      <c r="G46" s="1345"/>
    </row>
    <row r="47" spans="1:7" ht="21.95" customHeight="1">
      <c r="A47" s="1346"/>
      <c r="B47" s="1347" t="s">
        <v>1947</v>
      </c>
      <c r="C47" s="1348"/>
      <c r="D47" s="1347"/>
      <c r="E47" s="1348"/>
      <c r="F47" s="1349">
        <f>SUM(F45:F46)</f>
        <v>35879</v>
      </c>
      <c r="G47" s="1350"/>
    </row>
    <row r="48" spans="1:7" ht="21.95" customHeight="1">
      <c r="A48" s="1351" t="s">
        <v>2150</v>
      </c>
      <c r="B48" s="1352" t="s">
        <v>548</v>
      </c>
      <c r="C48" s="1353">
        <v>1</v>
      </c>
      <c r="D48" s="1352" t="s">
        <v>1221</v>
      </c>
      <c r="E48" s="1354">
        <f ca="1">'테라토10-장비기준'!S11</f>
        <v>20561</v>
      </c>
      <c r="F48" s="1354">
        <f>ROUNDDOWN(C48*E48,0)</f>
        <v>20561</v>
      </c>
      <c r="G48" s="1355"/>
    </row>
    <row r="49" spans="1:7" ht="21.95" customHeight="1">
      <c r="A49" s="1341"/>
      <c r="B49" s="1342" t="s">
        <v>549</v>
      </c>
      <c r="C49" s="1356">
        <v>0</v>
      </c>
      <c r="D49" s="1342" t="s">
        <v>1221</v>
      </c>
      <c r="E49" s="1357">
        <f ca="1">'테라토10-장비기준'!S12</f>
        <v>11517</v>
      </c>
      <c r="F49" s="1357">
        <f>ROUNDDOWN(C49*E49,0)</f>
        <v>0</v>
      </c>
      <c r="G49" s="1345"/>
    </row>
    <row r="50" spans="1:7" ht="21.95" customHeight="1">
      <c r="A50" s="1341"/>
      <c r="B50" s="1342" t="s">
        <v>550</v>
      </c>
      <c r="C50" s="1356">
        <v>0</v>
      </c>
      <c r="D50" s="1342" t="s">
        <v>1221</v>
      </c>
      <c r="E50" s="1357">
        <f ca="1">'테라토10-장비기준'!S13</f>
        <v>19656</v>
      </c>
      <c r="F50" s="1357">
        <f>ROUNDDOWN(C50*E50,0)</f>
        <v>0</v>
      </c>
      <c r="G50" s="1345"/>
    </row>
    <row r="51" spans="1:7" ht="21.95" customHeight="1">
      <c r="A51" s="1346"/>
      <c r="B51" s="1347" t="s">
        <v>1947</v>
      </c>
      <c r="C51" s="1348"/>
      <c r="D51" s="1347"/>
      <c r="E51" s="1348"/>
      <c r="F51" s="1349">
        <f>SUM(F48:F50)</f>
        <v>20561</v>
      </c>
      <c r="G51" s="1350"/>
    </row>
    <row r="52" spans="1:7" ht="21.95" customHeight="1">
      <c r="A52" s="1351" t="s">
        <v>2207</v>
      </c>
      <c r="B52" s="1352" t="s">
        <v>2191</v>
      </c>
      <c r="C52" s="1353">
        <v>0.20269999999999999</v>
      </c>
      <c r="D52" s="1352"/>
      <c r="E52" s="1358">
        <v>28000</v>
      </c>
      <c r="F52" s="1358">
        <f>E52*C52</f>
        <v>5675.5999999999995</v>
      </c>
      <c r="G52" s="1355"/>
    </row>
    <row r="53" spans="1:7" ht="21.95" customHeight="1">
      <c r="A53" s="1346"/>
      <c r="B53" s="1347" t="s">
        <v>1947</v>
      </c>
      <c r="C53" s="1348"/>
      <c r="D53" s="1347"/>
      <c r="E53" s="1348"/>
      <c r="F53" s="1349">
        <f>SUM(F52)</f>
        <v>5675.5999999999995</v>
      </c>
      <c r="G53" s="1350"/>
    </row>
    <row r="54" spans="1:7" ht="21.95" customHeight="1">
      <c r="A54" s="1359"/>
      <c r="B54" s="1360"/>
      <c r="C54" s="1361"/>
      <c r="D54" s="1360"/>
      <c r="E54" s="1361"/>
      <c r="F54" s="1361"/>
      <c r="G54" s="1362"/>
    </row>
    <row r="55" spans="1:7" ht="21.95" customHeight="1">
      <c r="A55" s="1359"/>
      <c r="B55" s="1360"/>
      <c r="C55" s="1361"/>
      <c r="D55" s="1360"/>
      <c r="E55" s="1361"/>
      <c r="F55" s="1361"/>
      <c r="G55" s="1362"/>
    </row>
    <row r="56" spans="1:7" ht="21.95" customHeight="1">
      <c r="A56" s="1359"/>
      <c r="B56" s="1360"/>
      <c r="C56" s="1361"/>
      <c r="D56" s="1360"/>
      <c r="E56" s="1361"/>
      <c r="F56" s="1361"/>
      <c r="G56" s="1362"/>
    </row>
    <row r="57" spans="1:7" ht="21.95" customHeight="1">
      <c r="A57" s="1359"/>
      <c r="B57" s="1360"/>
      <c r="C57" s="1361"/>
      <c r="D57" s="1360"/>
      <c r="E57" s="1361"/>
      <c r="F57" s="1361"/>
      <c r="G57" s="1362"/>
    </row>
    <row r="58" spans="1:7" ht="21.95" customHeight="1">
      <c r="A58" s="1359"/>
      <c r="B58" s="1360"/>
      <c r="C58" s="1361"/>
      <c r="D58" s="1360"/>
      <c r="E58" s="1361"/>
      <c r="F58" s="1361"/>
      <c r="G58" s="1362"/>
    </row>
    <row r="59" spans="1:7" ht="21.95" customHeight="1">
      <c r="A59" s="1359"/>
      <c r="B59" s="1360"/>
      <c r="C59" s="1361"/>
      <c r="D59" s="1360"/>
      <c r="E59" s="1361"/>
      <c r="F59" s="1361"/>
      <c r="G59" s="1362"/>
    </row>
    <row r="60" spans="1:7" ht="21.95" customHeight="1">
      <c r="A60" s="1333" t="s">
        <v>2152</v>
      </c>
      <c r="B60" s="1334"/>
      <c r="C60" s="1363"/>
      <c r="D60" s="1334"/>
      <c r="E60" s="1363"/>
      <c r="F60" s="1364">
        <f>F47+F51+F53</f>
        <v>62115.6</v>
      </c>
      <c r="G60" s="1365"/>
    </row>
    <row r="61" spans="1:7" ht="21.95" customHeight="1">
      <c r="A61" s="1367" t="s">
        <v>555</v>
      </c>
      <c r="B61" s="1325"/>
      <c r="C61" s="1325"/>
      <c r="D61" s="1325"/>
      <c r="E61" s="1325"/>
      <c r="F61" s="1325"/>
      <c r="G61" s="1326"/>
    </row>
    <row r="62" spans="1:7" ht="21.95" customHeight="1">
      <c r="A62" s="1327"/>
      <c r="B62" s="1328"/>
      <c r="C62" s="1328"/>
      <c r="D62" s="1328"/>
      <c r="E62" s="1328"/>
      <c r="F62" s="1328"/>
      <c r="G62" s="1329"/>
    </row>
    <row r="63" spans="1:7" ht="21.95" customHeight="1">
      <c r="A63" s="1330" t="s">
        <v>556</v>
      </c>
      <c r="B63" s="1331"/>
      <c r="C63" s="1331"/>
      <c r="D63" s="1331"/>
      <c r="E63" s="1331"/>
      <c r="F63" s="1331"/>
      <c r="G63" s="1332"/>
    </row>
    <row r="64" spans="1:7" ht="21.95" customHeight="1">
      <c r="A64" s="1333" t="s">
        <v>137</v>
      </c>
      <c r="B64" s="1334" t="s">
        <v>541</v>
      </c>
      <c r="C64" s="1334" t="s">
        <v>2148</v>
      </c>
      <c r="D64" s="1334" t="s">
        <v>140</v>
      </c>
      <c r="E64" s="1334" t="s">
        <v>542</v>
      </c>
      <c r="F64" s="1334" t="s">
        <v>543</v>
      </c>
      <c r="G64" s="1335" t="s">
        <v>544</v>
      </c>
    </row>
    <row r="65" spans="1:7" ht="21.95" customHeight="1">
      <c r="A65" s="1336" t="s">
        <v>2149</v>
      </c>
      <c r="B65" s="1337" t="s">
        <v>545</v>
      </c>
      <c r="C65" s="1338">
        <v>9.9</v>
      </c>
      <c r="D65" s="1337" t="s">
        <v>546</v>
      </c>
      <c r="E65" s="1339">
        <f ca="1">'테라토10-장비기준'!E8</f>
        <v>1322</v>
      </c>
      <c r="F65" s="1339">
        <f>ROUNDDOWN(C65*E65,0)</f>
        <v>13087</v>
      </c>
      <c r="G65" s="1340"/>
    </row>
    <row r="66" spans="1:7" ht="21.95" customHeight="1">
      <c r="A66" s="1341"/>
      <c r="B66" s="1342" t="s">
        <v>547</v>
      </c>
      <c r="C66" s="1343">
        <v>22</v>
      </c>
      <c r="D66" s="1342" t="s">
        <v>861</v>
      </c>
      <c r="E66" s="1344"/>
      <c r="F66" s="1344">
        <f>ROUNDDOWN(F65*25%,0)</f>
        <v>3271</v>
      </c>
      <c r="G66" s="1345"/>
    </row>
    <row r="67" spans="1:7" ht="21.95" customHeight="1">
      <c r="A67" s="1346"/>
      <c r="B67" s="1347" t="s">
        <v>1947</v>
      </c>
      <c r="C67" s="1348"/>
      <c r="D67" s="1347"/>
      <c r="E67" s="1348"/>
      <c r="F67" s="1349">
        <f>SUM(F65:F66)</f>
        <v>16358</v>
      </c>
      <c r="G67" s="1350"/>
    </row>
    <row r="68" spans="1:7" ht="21.95" customHeight="1">
      <c r="A68" s="1351" t="s">
        <v>2150</v>
      </c>
      <c r="B68" s="1352" t="s">
        <v>548</v>
      </c>
      <c r="C68" s="1353">
        <v>0.20832999999999999</v>
      </c>
      <c r="D68" s="1352" t="s">
        <v>1221</v>
      </c>
      <c r="E68" s="1354">
        <f ca="1">'테라토10-장비기준'!E11</f>
        <v>98693</v>
      </c>
      <c r="F68" s="1354">
        <f>ROUNDDOWN(C68*E68,0)</f>
        <v>20560</v>
      </c>
      <c r="G68" s="1355"/>
    </row>
    <row r="69" spans="1:7" ht="21.95" customHeight="1">
      <c r="A69" s="1341"/>
      <c r="B69" s="1342" t="s">
        <v>549</v>
      </c>
      <c r="C69" s="1343"/>
      <c r="D69" s="1342" t="s">
        <v>1221</v>
      </c>
      <c r="E69" s="1357"/>
      <c r="F69" s="1357">
        <f>ROUNDDOWN(C69*E69,0)</f>
        <v>0</v>
      </c>
      <c r="G69" s="1345"/>
    </row>
    <row r="70" spans="1:7" ht="21.95" customHeight="1">
      <c r="A70" s="1341"/>
      <c r="B70" s="1342" t="s">
        <v>550</v>
      </c>
      <c r="C70" s="1343">
        <v>4.1660000000000003E-2</v>
      </c>
      <c r="D70" s="1342" t="s">
        <v>1221</v>
      </c>
      <c r="E70" s="1357">
        <f ca="1">'테라토10-장비기준'!E13</f>
        <v>94350</v>
      </c>
      <c r="F70" s="1357">
        <f>ROUNDDOWN(C70*E70,0)</f>
        <v>3930</v>
      </c>
      <c r="G70" s="1345"/>
    </row>
    <row r="71" spans="1:7" ht="21.95" customHeight="1">
      <c r="A71" s="1346"/>
      <c r="B71" s="1347" t="s">
        <v>1947</v>
      </c>
      <c r="C71" s="1348"/>
      <c r="D71" s="1347"/>
      <c r="E71" s="1348"/>
      <c r="F71" s="1349">
        <f>SUM(F68:F70)</f>
        <v>24490</v>
      </c>
      <c r="G71" s="1350"/>
    </row>
    <row r="72" spans="1:7" ht="21.95" customHeight="1">
      <c r="A72" s="1351" t="s">
        <v>2207</v>
      </c>
      <c r="B72" s="1352" t="s">
        <v>2191</v>
      </c>
      <c r="C72" s="1353">
        <v>0.20380000000000001</v>
      </c>
      <c r="D72" s="1352"/>
      <c r="E72" s="1358">
        <v>61106</v>
      </c>
      <c r="F72" s="1358">
        <f>ROUNDDOWN(C72*E72,0)</f>
        <v>12453</v>
      </c>
      <c r="G72" s="1355"/>
    </row>
    <row r="73" spans="1:7" ht="21.95" customHeight="1">
      <c r="A73" s="1346"/>
      <c r="B73" s="1347" t="s">
        <v>1947</v>
      </c>
      <c r="C73" s="1348"/>
      <c r="D73" s="1347"/>
      <c r="E73" s="1348"/>
      <c r="F73" s="1349">
        <f>SUM(F72)</f>
        <v>12453</v>
      </c>
      <c r="G73" s="1350"/>
    </row>
    <row r="74" spans="1:7" ht="21.95" customHeight="1">
      <c r="A74" s="1359"/>
      <c r="B74" s="1360"/>
      <c r="C74" s="1361"/>
      <c r="D74" s="1360"/>
      <c r="E74" s="1361"/>
      <c r="F74" s="1361"/>
      <c r="G74" s="1362"/>
    </row>
    <row r="75" spans="1:7" ht="21.95" customHeight="1">
      <c r="A75" s="1359"/>
      <c r="B75" s="1360"/>
      <c r="C75" s="1361"/>
      <c r="D75" s="1360"/>
      <c r="E75" s="1361"/>
      <c r="F75" s="1361"/>
      <c r="G75" s="1362"/>
    </row>
    <row r="76" spans="1:7" ht="21.95" customHeight="1">
      <c r="A76" s="1359"/>
      <c r="B76" s="1360"/>
      <c r="C76" s="1361"/>
      <c r="D76" s="1360"/>
      <c r="E76" s="1361"/>
      <c r="F76" s="1361"/>
      <c r="G76" s="1362"/>
    </row>
    <row r="77" spans="1:7" ht="21.95" customHeight="1">
      <c r="A77" s="1359"/>
      <c r="B77" s="1360"/>
      <c r="C77" s="1361"/>
      <c r="D77" s="1360"/>
      <c r="E77" s="1361"/>
      <c r="F77" s="1361"/>
      <c r="G77" s="1362"/>
    </row>
    <row r="78" spans="1:7" ht="21.95" customHeight="1">
      <c r="A78" s="1359"/>
      <c r="B78" s="1360"/>
      <c r="C78" s="1361"/>
      <c r="D78" s="1360"/>
      <c r="E78" s="1361"/>
      <c r="F78" s="1361"/>
      <c r="G78" s="1362"/>
    </row>
    <row r="79" spans="1:7" ht="21.95" customHeight="1">
      <c r="A79" s="1359"/>
      <c r="B79" s="1360"/>
      <c r="C79" s="1361"/>
      <c r="D79" s="1360"/>
      <c r="E79" s="1361"/>
      <c r="F79" s="1361"/>
      <c r="G79" s="1362"/>
    </row>
    <row r="80" spans="1:7" ht="21.95" customHeight="1">
      <c r="A80" s="1333" t="s">
        <v>2152</v>
      </c>
      <c r="B80" s="1334"/>
      <c r="C80" s="1363"/>
      <c r="D80" s="1334"/>
      <c r="E80" s="1363"/>
      <c r="F80" s="1364">
        <f>F67+F71+F73</f>
        <v>53301</v>
      </c>
      <c r="G80" s="1365"/>
    </row>
    <row r="81" spans="1:7" ht="21.95" customHeight="1">
      <c r="A81" s="1367" t="s">
        <v>557</v>
      </c>
      <c r="B81" s="1325"/>
      <c r="C81" s="1325"/>
      <c r="D81" s="1325"/>
      <c r="E81" s="1325"/>
      <c r="F81" s="1325"/>
      <c r="G81" s="1326"/>
    </row>
    <row r="82" spans="1:7" ht="21.95" customHeight="1">
      <c r="A82" s="1327"/>
      <c r="B82" s="1328"/>
      <c r="C82" s="1328"/>
      <c r="D82" s="1328"/>
      <c r="E82" s="1328"/>
      <c r="F82" s="1328"/>
      <c r="G82" s="1329"/>
    </row>
    <row r="83" spans="1:7" ht="21.95" customHeight="1">
      <c r="A83" s="1330" t="s">
        <v>558</v>
      </c>
      <c r="B83" s="1331"/>
      <c r="C83" s="1331"/>
      <c r="D83" s="1331"/>
      <c r="E83" s="1331"/>
      <c r="F83" s="1331"/>
      <c r="G83" s="1332"/>
    </row>
    <row r="84" spans="1:7" ht="21.95" customHeight="1">
      <c r="A84" s="1333" t="s">
        <v>137</v>
      </c>
      <c r="B84" s="1334" t="s">
        <v>541</v>
      </c>
      <c r="C84" s="1334" t="s">
        <v>2148</v>
      </c>
      <c r="D84" s="1334" t="s">
        <v>140</v>
      </c>
      <c r="E84" s="1334" t="s">
        <v>542</v>
      </c>
      <c r="F84" s="1334" t="s">
        <v>543</v>
      </c>
      <c r="G84" s="1335" t="s">
        <v>544</v>
      </c>
    </row>
    <row r="85" spans="1:7" ht="21.95" customHeight="1">
      <c r="A85" s="1336" t="s">
        <v>2149</v>
      </c>
      <c r="B85" s="1337" t="s">
        <v>545</v>
      </c>
      <c r="C85" s="1338">
        <v>11.6</v>
      </c>
      <c r="D85" s="1337" t="s">
        <v>546</v>
      </c>
      <c r="E85" s="1339">
        <f ca="1">'테라토10-장비기준'!E8</f>
        <v>1322</v>
      </c>
      <c r="F85" s="1339">
        <f>ROUNDDOWN(C85*E85,0)</f>
        <v>15335</v>
      </c>
      <c r="G85" s="1340"/>
    </row>
    <row r="86" spans="1:7" ht="21.95" customHeight="1">
      <c r="A86" s="1341"/>
      <c r="B86" s="1342" t="s">
        <v>547</v>
      </c>
      <c r="C86" s="1343">
        <v>22</v>
      </c>
      <c r="D86" s="1342" t="s">
        <v>861</v>
      </c>
      <c r="E86" s="1344"/>
      <c r="F86" s="1344">
        <f>ROUNDDOWN(F85*25%,0)</f>
        <v>3833</v>
      </c>
      <c r="G86" s="1345"/>
    </row>
    <row r="87" spans="1:7" ht="21.95" customHeight="1">
      <c r="A87" s="1346"/>
      <c r="B87" s="1347" t="s">
        <v>1947</v>
      </c>
      <c r="C87" s="1348"/>
      <c r="D87" s="1347"/>
      <c r="E87" s="1348"/>
      <c r="F87" s="1349">
        <f>SUM(F85:F86)</f>
        <v>19168</v>
      </c>
      <c r="G87" s="1350"/>
    </row>
    <row r="88" spans="1:7" ht="21.95" customHeight="1">
      <c r="A88" s="1351" t="s">
        <v>2150</v>
      </c>
      <c r="B88" s="1352" t="s">
        <v>548</v>
      </c>
      <c r="C88" s="1353">
        <v>0.20832999999999999</v>
      </c>
      <c r="D88" s="1352" t="s">
        <v>1221</v>
      </c>
      <c r="E88" s="1354">
        <f ca="1">'테라토10-장비기준'!E11</f>
        <v>98693</v>
      </c>
      <c r="F88" s="1354">
        <f>ROUNDDOWN(C88*E88,0)</f>
        <v>20560</v>
      </c>
      <c r="G88" s="1355"/>
    </row>
    <row r="89" spans="1:7" ht="21.95" customHeight="1">
      <c r="A89" s="1341"/>
      <c r="B89" s="1342" t="s">
        <v>549</v>
      </c>
      <c r="C89" s="1343"/>
      <c r="D89" s="1342" t="s">
        <v>1221</v>
      </c>
      <c r="E89" s="1357"/>
      <c r="F89" s="1357">
        <f>ROUNDDOWN(C89*E89,0)</f>
        <v>0</v>
      </c>
      <c r="G89" s="1345"/>
    </row>
    <row r="90" spans="1:7" ht="21.95" customHeight="1">
      <c r="A90" s="1341"/>
      <c r="B90" s="1342" t="s">
        <v>550</v>
      </c>
      <c r="C90" s="1343">
        <v>4.1660000000000003E-2</v>
      </c>
      <c r="D90" s="1342" t="s">
        <v>1221</v>
      </c>
      <c r="E90" s="1357">
        <f ca="1">'테라토10-장비기준'!E13</f>
        <v>94350</v>
      </c>
      <c r="F90" s="1357">
        <f>ROUNDDOWN(C90*E90,0)</f>
        <v>3930</v>
      </c>
      <c r="G90" s="1345"/>
    </row>
    <row r="91" spans="1:7" ht="21.95" customHeight="1">
      <c r="A91" s="1346"/>
      <c r="B91" s="1347" t="s">
        <v>1947</v>
      </c>
      <c r="C91" s="1348"/>
      <c r="D91" s="1347"/>
      <c r="E91" s="1368"/>
      <c r="F91" s="1349">
        <f>SUM(F88:F90)</f>
        <v>24490</v>
      </c>
      <c r="G91" s="1350"/>
    </row>
    <row r="92" spans="1:7" ht="21.95" customHeight="1">
      <c r="A92" s="1351" t="s">
        <v>2207</v>
      </c>
      <c r="B92" s="1352" t="s">
        <v>2191</v>
      </c>
      <c r="C92" s="1353">
        <f>C72</f>
        <v>0.20380000000000001</v>
      </c>
      <c r="D92" s="1352"/>
      <c r="E92" s="1358">
        <v>93042</v>
      </c>
      <c r="F92" s="1358">
        <f>ROUNDDOWN(C92*E92,0)</f>
        <v>18961</v>
      </c>
      <c r="G92" s="1355"/>
    </row>
    <row r="93" spans="1:7" ht="21.95" customHeight="1">
      <c r="A93" s="1346"/>
      <c r="B93" s="1347" t="s">
        <v>1947</v>
      </c>
      <c r="C93" s="1348"/>
      <c r="D93" s="1347"/>
      <c r="E93" s="1348"/>
      <c r="F93" s="1349">
        <f>SUM(F92)</f>
        <v>18961</v>
      </c>
      <c r="G93" s="1350"/>
    </row>
    <row r="94" spans="1:7" ht="21.95" customHeight="1">
      <c r="A94" s="1359"/>
      <c r="B94" s="1360"/>
      <c r="C94" s="1361"/>
      <c r="D94" s="1360"/>
      <c r="E94" s="1361"/>
      <c r="F94" s="1361"/>
      <c r="G94" s="1362"/>
    </row>
    <row r="95" spans="1:7" ht="21.95" customHeight="1">
      <c r="A95" s="1359"/>
      <c r="B95" s="1360"/>
      <c r="C95" s="1361"/>
      <c r="D95" s="1360"/>
      <c r="E95" s="1361"/>
      <c r="F95" s="1361"/>
      <c r="G95" s="1362"/>
    </row>
    <row r="96" spans="1:7" ht="21.95" customHeight="1">
      <c r="A96" s="1359"/>
      <c r="B96" s="1360"/>
      <c r="C96" s="1361"/>
      <c r="D96" s="1360"/>
      <c r="E96" s="1361"/>
      <c r="F96" s="1361"/>
      <c r="G96" s="1362"/>
    </row>
    <row r="97" spans="1:7" ht="21.95" customHeight="1">
      <c r="A97" s="1359"/>
      <c r="B97" s="1360"/>
      <c r="C97" s="1361"/>
      <c r="D97" s="1360"/>
      <c r="E97" s="1361"/>
      <c r="F97" s="1361"/>
      <c r="G97" s="1362"/>
    </row>
    <row r="98" spans="1:7" ht="21.95" customHeight="1">
      <c r="A98" s="1359"/>
      <c r="B98" s="1360"/>
      <c r="C98" s="1361"/>
      <c r="D98" s="1360"/>
      <c r="E98" s="1361"/>
      <c r="F98" s="1361"/>
      <c r="G98" s="1362"/>
    </row>
    <row r="99" spans="1:7" ht="21.95" customHeight="1">
      <c r="A99" s="1359"/>
      <c r="B99" s="1360"/>
      <c r="C99" s="1361"/>
      <c r="D99" s="1360"/>
      <c r="E99" s="1361"/>
      <c r="F99" s="1361"/>
      <c r="G99" s="1362"/>
    </row>
    <row r="100" spans="1:7" ht="21.95" customHeight="1">
      <c r="A100" s="1333" t="s">
        <v>2152</v>
      </c>
      <c r="B100" s="1334"/>
      <c r="C100" s="1363"/>
      <c r="D100" s="1334"/>
      <c r="E100" s="1363"/>
      <c r="F100" s="1364">
        <f>F87+F91+F93</f>
        <v>62619</v>
      </c>
      <c r="G100" s="1365"/>
    </row>
    <row r="101" spans="1:7" ht="21.95" customHeight="1">
      <c r="A101" s="1324" t="s">
        <v>559</v>
      </c>
      <c r="B101" s="1325"/>
      <c r="C101" s="1325"/>
      <c r="D101" s="1325"/>
      <c r="E101" s="1325"/>
      <c r="F101" s="1325"/>
      <c r="G101" s="1326"/>
    </row>
    <row r="102" spans="1:7" ht="21.95" customHeight="1">
      <c r="A102" s="1327"/>
      <c r="B102" s="1328"/>
      <c r="C102" s="1328"/>
      <c r="D102" s="1328"/>
      <c r="E102" s="1328"/>
      <c r="F102" s="1328"/>
      <c r="G102" s="1329"/>
    </row>
    <row r="103" spans="1:7" ht="21.95" customHeight="1">
      <c r="A103" s="1330" t="s">
        <v>560</v>
      </c>
      <c r="B103" s="1331"/>
      <c r="C103" s="1331"/>
      <c r="D103" s="1331"/>
      <c r="E103" s="1331"/>
      <c r="F103" s="1331"/>
      <c r="G103" s="1332"/>
    </row>
    <row r="104" spans="1:7" ht="21.95" customHeight="1">
      <c r="A104" s="1333" t="s">
        <v>137</v>
      </c>
      <c r="B104" s="1334" t="s">
        <v>541</v>
      </c>
      <c r="C104" s="1334" t="s">
        <v>2148</v>
      </c>
      <c r="D104" s="1334" t="s">
        <v>140</v>
      </c>
      <c r="E104" s="1334" t="s">
        <v>542</v>
      </c>
      <c r="F104" s="1334" t="s">
        <v>543</v>
      </c>
      <c r="G104" s="1335" t="s">
        <v>544</v>
      </c>
    </row>
    <row r="105" spans="1:7" ht="21.95" customHeight="1">
      <c r="A105" s="1336" t="s">
        <v>2149</v>
      </c>
      <c r="B105" s="1337" t="s">
        <v>545</v>
      </c>
      <c r="C105" s="1338">
        <v>3.8</v>
      </c>
      <c r="D105" s="1337" t="s">
        <v>546</v>
      </c>
      <c r="E105" s="1339">
        <f ca="1">'테라토10-단가적용'!J10</f>
        <v>1322</v>
      </c>
      <c r="F105" s="1339">
        <f>ROUNDDOWN(C105*E105,0)</f>
        <v>5023</v>
      </c>
      <c r="G105" s="1340"/>
    </row>
    <row r="106" spans="1:7" ht="21.95" customHeight="1">
      <c r="A106" s="1341"/>
      <c r="B106" s="1342" t="s">
        <v>547</v>
      </c>
      <c r="C106" s="1343">
        <v>39</v>
      </c>
      <c r="D106" s="1342" t="s">
        <v>861</v>
      </c>
      <c r="E106" s="1344"/>
      <c r="F106" s="1344">
        <f>ROUNDDOWN(F105*42%,0)</f>
        <v>2109</v>
      </c>
      <c r="G106" s="1345"/>
    </row>
    <row r="107" spans="1:7" ht="21.95" customHeight="1">
      <c r="A107" s="1346"/>
      <c r="B107" s="1347" t="s">
        <v>1947</v>
      </c>
      <c r="C107" s="1348"/>
      <c r="D107" s="1347"/>
      <c r="E107" s="1348"/>
      <c r="F107" s="1349">
        <f>SUM(F105:F106)</f>
        <v>7132</v>
      </c>
      <c r="G107" s="1350"/>
    </row>
    <row r="108" spans="1:7" ht="21.95" customHeight="1">
      <c r="A108" s="1351" t="s">
        <v>2150</v>
      </c>
      <c r="B108" s="1352" t="s">
        <v>548</v>
      </c>
      <c r="C108" s="1353">
        <v>0.20832999999999999</v>
      </c>
      <c r="D108" s="1352" t="s">
        <v>1221</v>
      </c>
      <c r="E108" s="1354">
        <f ca="1">'테라토10-장비기준'!E11</f>
        <v>98693</v>
      </c>
      <c r="F108" s="1354">
        <f>ROUNDDOWN(C108*E108,0)</f>
        <v>20560</v>
      </c>
      <c r="G108" s="1355"/>
    </row>
    <row r="109" spans="1:7" ht="21.95" customHeight="1">
      <c r="A109" s="1341"/>
      <c r="B109" s="1342" t="s">
        <v>549</v>
      </c>
      <c r="C109" s="1343"/>
      <c r="D109" s="1342" t="s">
        <v>1221</v>
      </c>
      <c r="E109" s="1357"/>
      <c r="F109" s="1357">
        <f>ROUNDDOWN(C109*E109,0)</f>
        <v>0</v>
      </c>
      <c r="G109" s="1345"/>
    </row>
    <row r="110" spans="1:7" ht="21.95" customHeight="1">
      <c r="A110" s="1341"/>
      <c r="B110" s="1342" t="s">
        <v>550</v>
      </c>
      <c r="C110" s="1343">
        <v>4.1660000000000003E-2</v>
      </c>
      <c r="D110" s="1342" t="s">
        <v>1221</v>
      </c>
      <c r="E110" s="1357">
        <f ca="1">'테라토10-장비기준'!E13</f>
        <v>94350</v>
      </c>
      <c r="F110" s="1357">
        <f>ROUNDDOWN(C110*E110,0)</f>
        <v>3930</v>
      </c>
      <c r="G110" s="1345"/>
    </row>
    <row r="111" spans="1:7" ht="21.95" customHeight="1">
      <c r="A111" s="1346"/>
      <c r="B111" s="1347" t="s">
        <v>1947</v>
      </c>
      <c r="C111" s="1348"/>
      <c r="D111" s="1347"/>
      <c r="E111" s="1368"/>
      <c r="F111" s="1349">
        <f>SUM(F108:F110)</f>
        <v>24490</v>
      </c>
      <c r="G111" s="1350"/>
    </row>
    <row r="112" spans="1:7" ht="21.95" customHeight="1">
      <c r="A112" s="1351" t="s">
        <v>2207</v>
      </c>
      <c r="B112" s="1352" t="s">
        <v>2191</v>
      </c>
      <c r="C112" s="1353">
        <v>0.22320000000000001</v>
      </c>
      <c r="D112" s="1352"/>
      <c r="E112" s="1358">
        <v>105000</v>
      </c>
      <c r="F112" s="1358">
        <f>E112*C112</f>
        <v>23436</v>
      </c>
      <c r="G112" s="1355"/>
    </row>
    <row r="113" spans="1:7" ht="21.95" customHeight="1">
      <c r="A113" s="1346"/>
      <c r="B113" s="1347" t="s">
        <v>1947</v>
      </c>
      <c r="C113" s="1348"/>
      <c r="D113" s="1347"/>
      <c r="E113" s="1348"/>
      <c r="F113" s="1349">
        <f>SUM(F112)</f>
        <v>23436</v>
      </c>
      <c r="G113" s="1350"/>
    </row>
    <row r="114" spans="1:7" ht="21.95" customHeight="1">
      <c r="A114" s="1359"/>
      <c r="B114" s="1360"/>
      <c r="C114" s="1361"/>
      <c r="D114" s="1360"/>
      <c r="E114" s="1361"/>
      <c r="F114" s="1361"/>
      <c r="G114" s="1362"/>
    </row>
    <row r="115" spans="1:7" ht="21.95" customHeight="1">
      <c r="A115" s="1359"/>
      <c r="B115" s="1360"/>
      <c r="C115" s="1361"/>
      <c r="D115" s="1360"/>
      <c r="E115" s="1361"/>
      <c r="F115" s="1361"/>
      <c r="G115" s="1362"/>
    </row>
    <row r="116" spans="1:7" ht="21.95" customHeight="1">
      <c r="A116" s="1359"/>
      <c r="B116" s="1360"/>
      <c r="C116" s="1361"/>
      <c r="D116" s="1360"/>
      <c r="E116" s="1361"/>
      <c r="F116" s="1361"/>
      <c r="G116" s="1362"/>
    </row>
    <row r="117" spans="1:7" ht="21.95" customHeight="1">
      <c r="A117" s="1359"/>
      <c r="B117" s="1360"/>
      <c r="C117" s="1361"/>
      <c r="D117" s="1360"/>
      <c r="E117" s="1361"/>
      <c r="F117" s="1361"/>
      <c r="G117" s="1362"/>
    </row>
    <row r="118" spans="1:7" ht="21.95" customHeight="1">
      <c r="A118" s="1359"/>
      <c r="B118" s="1360"/>
      <c r="C118" s="1361"/>
      <c r="D118" s="1360"/>
      <c r="E118" s="1361"/>
      <c r="F118" s="1361"/>
      <c r="G118" s="1362"/>
    </row>
    <row r="119" spans="1:7" ht="21.95" customHeight="1">
      <c r="A119" s="1359"/>
      <c r="B119" s="1360"/>
      <c r="C119" s="1361"/>
      <c r="D119" s="1360"/>
      <c r="E119" s="1361"/>
      <c r="F119" s="1361"/>
      <c r="G119" s="1362"/>
    </row>
    <row r="120" spans="1:7" ht="21.95" customHeight="1">
      <c r="A120" s="1333" t="s">
        <v>2152</v>
      </c>
      <c r="B120" s="1334"/>
      <c r="C120" s="1363"/>
      <c r="D120" s="1334"/>
      <c r="E120" s="1363"/>
      <c r="F120" s="1364">
        <f>F107+F111+F113</f>
        <v>55058</v>
      </c>
      <c r="G120" s="1365"/>
    </row>
    <row r="121" spans="1:7" ht="21.95" customHeight="1">
      <c r="A121" s="1324" t="s">
        <v>561</v>
      </c>
      <c r="B121" s="1325"/>
      <c r="C121" s="1325"/>
      <c r="D121" s="1325"/>
      <c r="E121" s="1325"/>
      <c r="F121" s="1325"/>
      <c r="G121" s="1326"/>
    </row>
    <row r="122" spans="1:7" ht="21.95" customHeight="1">
      <c r="A122" s="1327"/>
      <c r="B122" s="1328"/>
      <c r="C122" s="1328"/>
      <c r="D122" s="1328"/>
      <c r="E122" s="1328"/>
      <c r="F122" s="1328"/>
      <c r="G122" s="1329"/>
    </row>
    <row r="123" spans="1:7" ht="21.95" customHeight="1">
      <c r="A123" s="1330" t="s">
        <v>562</v>
      </c>
      <c r="B123" s="1331"/>
      <c r="C123" s="1331"/>
      <c r="D123" s="1331"/>
      <c r="E123" s="1331"/>
      <c r="F123" s="1331"/>
      <c r="G123" s="1332"/>
    </row>
    <row r="124" spans="1:7" ht="21.95" customHeight="1">
      <c r="A124" s="1333" t="s">
        <v>137</v>
      </c>
      <c r="B124" s="1334" t="s">
        <v>541</v>
      </c>
      <c r="C124" s="1334" t="s">
        <v>2148</v>
      </c>
      <c r="D124" s="1334" t="s">
        <v>140</v>
      </c>
      <c r="E124" s="1334" t="s">
        <v>542</v>
      </c>
      <c r="F124" s="1334" t="s">
        <v>543</v>
      </c>
      <c r="G124" s="1335" t="s">
        <v>544</v>
      </c>
    </row>
    <row r="125" spans="1:7" ht="21.95" customHeight="1">
      <c r="A125" s="1336" t="s">
        <v>2149</v>
      </c>
      <c r="B125" s="1337" t="s">
        <v>545</v>
      </c>
      <c r="C125" s="1338">
        <v>9.3000000000000007</v>
      </c>
      <c r="D125" s="1337" t="s">
        <v>546</v>
      </c>
      <c r="E125" s="1339">
        <f ca="1">'테라토10-단가적용'!J10</f>
        <v>1322</v>
      </c>
      <c r="F125" s="1339">
        <f>ROUNDDOWN(C125*E125,0)</f>
        <v>12294</v>
      </c>
      <c r="G125" s="1340"/>
    </row>
    <row r="126" spans="1:7" ht="21.95" customHeight="1">
      <c r="A126" s="1341"/>
      <c r="B126" s="1342" t="s">
        <v>547</v>
      </c>
      <c r="C126" s="1343">
        <v>30</v>
      </c>
      <c r="D126" s="1342" t="s">
        <v>861</v>
      </c>
      <c r="E126" s="1344"/>
      <c r="F126" s="1344">
        <f>ROUNDDOWN(F125*35%,0)</f>
        <v>4302</v>
      </c>
      <c r="G126" s="1345"/>
    </row>
    <row r="127" spans="1:7" ht="21.95" customHeight="1">
      <c r="A127" s="1346"/>
      <c r="B127" s="1347" t="s">
        <v>1947</v>
      </c>
      <c r="C127" s="1348"/>
      <c r="D127" s="1347"/>
      <c r="E127" s="1348"/>
      <c r="F127" s="1349">
        <f>SUM(F125:F126)</f>
        <v>16596</v>
      </c>
      <c r="G127" s="1350"/>
    </row>
    <row r="128" spans="1:7" ht="21.95" customHeight="1">
      <c r="A128" s="1351" t="s">
        <v>2150</v>
      </c>
      <c r="B128" s="1369" t="s">
        <v>548</v>
      </c>
      <c r="C128" s="1353">
        <v>0.20830000000000001</v>
      </c>
      <c r="D128" s="1352" t="s">
        <v>1221</v>
      </c>
      <c r="E128" s="1354">
        <f ca="1">'테라토10-장비기준'!E11</f>
        <v>98693</v>
      </c>
      <c r="F128" s="1354">
        <f>ROUNDDOWN(C128*E128,0)</f>
        <v>20557</v>
      </c>
      <c r="G128" s="1355"/>
    </row>
    <row r="129" spans="1:7" ht="21.95" customHeight="1">
      <c r="A129" s="1341"/>
      <c r="B129" s="1342"/>
      <c r="C129" s="1356"/>
      <c r="D129" s="1342" t="s">
        <v>1221</v>
      </c>
      <c r="E129" s="1357"/>
      <c r="F129" s="1357">
        <f>ROUNDDOWN(C129*E129,0)</f>
        <v>0</v>
      </c>
      <c r="G129" s="1345"/>
    </row>
    <row r="130" spans="1:7" ht="21.95" customHeight="1">
      <c r="A130" s="1341"/>
      <c r="B130" s="1342"/>
      <c r="C130" s="1356"/>
      <c r="D130" s="1342" t="s">
        <v>1221</v>
      </c>
      <c r="E130" s="1357"/>
      <c r="F130" s="1357">
        <f>ROUNDDOWN(C130*E130,0)</f>
        <v>0</v>
      </c>
      <c r="G130" s="1345"/>
    </row>
    <row r="131" spans="1:7" ht="21.95" customHeight="1">
      <c r="A131" s="1346"/>
      <c r="B131" s="1347" t="s">
        <v>1947</v>
      </c>
      <c r="C131" s="1348"/>
      <c r="D131" s="1347"/>
      <c r="E131" s="1368"/>
      <c r="F131" s="1349">
        <f>SUM(F128:F130)</f>
        <v>20557</v>
      </c>
      <c r="G131" s="1350"/>
    </row>
    <row r="132" spans="1:7" ht="21.95" customHeight="1">
      <c r="A132" s="1351" t="s">
        <v>2207</v>
      </c>
      <c r="B132" s="1352" t="s">
        <v>2191</v>
      </c>
      <c r="C132" s="1353">
        <v>0.20449999999999999</v>
      </c>
      <c r="D132" s="1352"/>
      <c r="E132" s="1358">
        <v>38257</v>
      </c>
      <c r="F132" s="1358">
        <f>E132*C132</f>
        <v>7823.5564999999997</v>
      </c>
      <c r="G132" s="1355"/>
    </row>
    <row r="133" spans="1:7" ht="21.95" customHeight="1">
      <c r="A133" s="1346"/>
      <c r="B133" s="1347" t="s">
        <v>1947</v>
      </c>
      <c r="C133" s="1348"/>
      <c r="D133" s="1347"/>
      <c r="E133" s="1348"/>
      <c r="F133" s="1349">
        <f>SUM(F132)</f>
        <v>7823.5564999999997</v>
      </c>
      <c r="G133" s="1350"/>
    </row>
    <row r="134" spans="1:7" ht="21.95" customHeight="1">
      <c r="A134" s="1359"/>
      <c r="B134" s="1360"/>
      <c r="C134" s="1361"/>
      <c r="D134" s="1360"/>
      <c r="E134" s="1361"/>
      <c r="F134" s="1361"/>
      <c r="G134" s="1362"/>
    </row>
    <row r="135" spans="1:7" ht="21.95" customHeight="1">
      <c r="A135" s="1359"/>
      <c r="B135" s="1360"/>
      <c r="C135" s="1361"/>
      <c r="D135" s="1360"/>
      <c r="E135" s="1361"/>
      <c r="F135" s="1361"/>
      <c r="G135" s="1362"/>
    </row>
    <row r="136" spans="1:7" ht="21.95" customHeight="1">
      <c r="A136" s="1359"/>
      <c r="B136" s="1360"/>
      <c r="C136" s="1361"/>
      <c r="D136" s="1360"/>
      <c r="E136" s="1361"/>
      <c r="F136" s="1361"/>
      <c r="G136" s="1362"/>
    </row>
    <row r="137" spans="1:7" ht="21.95" customHeight="1">
      <c r="A137" s="1359"/>
      <c r="B137" s="1360"/>
      <c r="C137" s="1361"/>
      <c r="D137" s="1360"/>
      <c r="E137" s="1361"/>
      <c r="F137" s="1361"/>
      <c r="G137" s="1362"/>
    </row>
    <row r="138" spans="1:7" ht="21.95" customHeight="1">
      <c r="A138" s="1359"/>
      <c r="B138" s="1360"/>
      <c r="C138" s="1361"/>
      <c r="D138" s="1360"/>
      <c r="E138" s="1361"/>
      <c r="F138" s="1361"/>
      <c r="G138" s="1362"/>
    </row>
    <row r="139" spans="1:7" ht="21.95" customHeight="1">
      <c r="A139" s="1359"/>
      <c r="B139" s="1360"/>
      <c r="C139" s="1361"/>
      <c r="D139" s="1360"/>
      <c r="E139" s="1361"/>
      <c r="F139" s="1361"/>
      <c r="G139" s="1362"/>
    </row>
    <row r="140" spans="1:7" ht="21.95" customHeight="1">
      <c r="A140" s="1333" t="s">
        <v>2152</v>
      </c>
      <c r="B140" s="1334"/>
      <c r="C140" s="1363"/>
      <c r="D140" s="1334"/>
      <c r="E140" s="1363"/>
      <c r="F140" s="1364">
        <f>F127+F131+F133</f>
        <v>44976.556499999999</v>
      </c>
      <c r="G140" s="1365"/>
    </row>
    <row r="141" spans="1:7" ht="21.95" customHeight="1">
      <c r="A141" s="1324" t="s">
        <v>563</v>
      </c>
      <c r="B141" s="1325"/>
      <c r="C141" s="1325"/>
      <c r="D141" s="1325"/>
      <c r="E141" s="1325"/>
      <c r="F141" s="1325"/>
      <c r="G141" s="1326"/>
    </row>
    <row r="142" spans="1:7" ht="21.95" customHeight="1">
      <c r="A142" s="1327"/>
      <c r="B142" s="1328"/>
      <c r="C142" s="1328"/>
      <c r="D142" s="1328"/>
      <c r="E142" s="1328"/>
      <c r="F142" s="1328"/>
      <c r="G142" s="1329"/>
    </row>
    <row r="143" spans="1:7" ht="21.95" customHeight="1">
      <c r="A143" s="1330" t="s">
        <v>564</v>
      </c>
      <c r="B143" s="1331"/>
      <c r="C143" s="1331"/>
      <c r="D143" s="1331"/>
      <c r="E143" s="1331"/>
      <c r="F143" s="1331"/>
      <c r="G143" s="1332"/>
    </row>
    <row r="144" spans="1:7" ht="21.95" customHeight="1">
      <c r="A144" s="1333" t="s">
        <v>137</v>
      </c>
      <c r="B144" s="1334" t="s">
        <v>541</v>
      </c>
      <c r="C144" s="1334" t="s">
        <v>2148</v>
      </c>
      <c r="D144" s="1334" t="s">
        <v>140</v>
      </c>
      <c r="E144" s="1334" t="s">
        <v>542</v>
      </c>
      <c r="F144" s="1334" t="s">
        <v>543</v>
      </c>
      <c r="G144" s="1335" t="s">
        <v>544</v>
      </c>
    </row>
    <row r="145" spans="1:7" ht="21.95" customHeight="1">
      <c r="A145" s="1336" t="s">
        <v>2149</v>
      </c>
      <c r="B145" s="1337" t="s">
        <v>545</v>
      </c>
      <c r="C145" s="1338">
        <v>8</v>
      </c>
      <c r="D145" s="1337" t="s">
        <v>546</v>
      </c>
      <c r="E145" s="1339">
        <f ca="1">'테라토10-단가적용'!J10</f>
        <v>1322</v>
      </c>
      <c r="F145" s="1339">
        <f>ROUNDDOWN(C145*E145,0)</f>
        <v>10576</v>
      </c>
      <c r="G145" s="1340"/>
    </row>
    <row r="146" spans="1:7" ht="21.95" customHeight="1">
      <c r="A146" s="1341"/>
      <c r="B146" s="1342" t="s">
        <v>547</v>
      </c>
      <c r="C146" s="1343">
        <v>38</v>
      </c>
      <c r="D146" s="1342" t="s">
        <v>861</v>
      </c>
      <c r="E146" s="1344"/>
      <c r="F146" s="1344">
        <f>ROUNDDOWN(F145*42%,0)</f>
        <v>4441</v>
      </c>
      <c r="G146" s="1345"/>
    </row>
    <row r="147" spans="1:7" ht="21.95" customHeight="1">
      <c r="A147" s="1346"/>
      <c r="B147" s="1347" t="s">
        <v>1947</v>
      </c>
      <c r="C147" s="1348"/>
      <c r="D147" s="1347"/>
      <c r="E147" s="1348"/>
      <c r="F147" s="1349">
        <f>SUM(F145:F146)</f>
        <v>15017</v>
      </c>
      <c r="G147" s="1350"/>
    </row>
    <row r="148" spans="1:7" ht="21.95" customHeight="1">
      <c r="A148" s="1351" t="s">
        <v>2150</v>
      </c>
      <c r="B148" s="1369" t="s">
        <v>548</v>
      </c>
      <c r="C148" s="1353">
        <v>0.20830000000000001</v>
      </c>
      <c r="D148" s="1352" t="s">
        <v>1221</v>
      </c>
      <c r="E148" s="1354">
        <f ca="1">'테라토10-장비기준'!E11</f>
        <v>98693</v>
      </c>
      <c r="F148" s="1354">
        <f>ROUNDDOWN(C148*E148,0)</f>
        <v>20557</v>
      </c>
      <c r="G148" s="1355"/>
    </row>
    <row r="149" spans="1:7" ht="21.95" customHeight="1">
      <c r="A149" s="1341"/>
      <c r="B149" s="1342"/>
      <c r="C149" s="1356"/>
      <c r="D149" s="1342" t="s">
        <v>1221</v>
      </c>
      <c r="E149" s="1357"/>
      <c r="F149" s="1357">
        <f>ROUNDDOWN(C149*E149,0)</f>
        <v>0</v>
      </c>
      <c r="G149" s="1345"/>
    </row>
    <row r="150" spans="1:7" ht="21.95" customHeight="1">
      <c r="A150" s="1341"/>
      <c r="B150" s="1342"/>
      <c r="C150" s="1356"/>
      <c r="D150" s="1342" t="s">
        <v>1221</v>
      </c>
      <c r="E150" s="1357"/>
      <c r="F150" s="1357">
        <f>ROUNDDOWN(C150*E150,0)</f>
        <v>0</v>
      </c>
      <c r="G150" s="1345"/>
    </row>
    <row r="151" spans="1:7" ht="21.95" customHeight="1">
      <c r="A151" s="1346"/>
      <c r="B151" s="1347" t="s">
        <v>1947</v>
      </c>
      <c r="C151" s="1348"/>
      <c r="D151" s="1347"/>
      <c r="E151" s="1368"/>
      <c r="F151" s="1349">
        <f>SUM(F148:F150)</f>
        <v>20557</v>
      </c>
      <c r="G151" s="1350"/>
    </row>
    <row r="152" spans="1:7" ht="21.95" customHeight="1">
      <c r="A152" s="1351" t="s">
        <v>2207</v>
      </c>
      <c r="B152" s="1352" t="s">
        <v>2191</v>
      </c>
      <c r="C152" s="1353">
        <v>0.29010000000000002</v>
      </c>
      <c r="D152" s="1352"/>
      <c r="E152" s="1358">
        <v>21089</v>
      </c>
      <c r="F152" s="1358">
        <f>E152*C152</f>
        <v>6117.9189000000006</v>
      </c>
      <c r="G152" s="1355"/>
    </row>
    <row r="153" spans="1:7" ht="21.95" customHeight="1">
      <c r="A153" s="1346"/>
      <c r="B153" s="1347" t="s">
        <v>1947</v>
      </c>
      <c r="C153" s="1348"/>
      <c r="D153" s="1347"/>
      <c r="E153" s="1348"/>
      <c r="F153" s="1349">
        <f>SUM(F152)</f>
        <v>6117.9189000000006</v>
      </c>
      <c r="G153" s="1350"/>
    </row>
    <row r="154" spans="1:7" ht="21.95" customHeight="1">
      <c r="A154" s="1359"/>
      <c r="B154" s="1360"/>
      <c r="C154" s="1361"/>
      <c r="D154" s="1360"/>
      <c r="E154" s="1361"/>
      <c r="F154" s="1361"/>
      <c r="G154" s="1362"/>
    </row>
    <row r="155" spans="1:7" ht="21.95" customHeight="1">
      <c r="A155" s="1359"/>
      <c r="B155" s="1360"/>
      <c r="C155" s="1361"/>
      <c r="D155" s="1360"/>
      <c r="E155" s="1361"/>
      <c r="F155" s="1361"/>
      <c r="G155" s="1362"/>
    </row>
    <row r="156" spans="1:7" ht="21.95" customHeight="1">
      <c r="A156" s="1359"/>
      <c r="B156" s="1360"/>
      <c r="C156" s="1361"/>
      <c r="D156" s="1360"/>
      <c r="E156" s="1361"/>
      <c r="F156" s="1361"/>
      <c r="G156" s="1362"/>
    </row>
    <row r="157" spans="1:7" ht="21.95" customHeight="1">
      <c r="A157" s="1359"/>
      <c r="B157" s="1360"/>
      <c r="C157" s="1361"/>
      <c r="D157" s="1360"/>
      <c r="E157" s="1361"/>
      <c r="F157" s="1361"/>
      <c r="G157" s="1362"/>
    </row>
    <row r="158" spans="1:7" ht="21.95" customHeight="1">
      <c r="A158" s="1359"/>
      <c r="B158" s="1360"/>
      <c r="C158" s="1361"/>
      <c r="D158" s="1360"/>
      <c r="E158" s="1361"/>
      <c r="F158" s="1361"/>
      <c r="G158" s="1362"/>
    </row>
    <row r="159" spans="1:7" ht="21.95" customHeight="1">
      <c r="A159" s="1359"/>
      <c r="B159" s="1360"/>
      <c r="C159" s="1361"/>
      <c r="D159" s="1360"/>
      <c r="E159" s="1361"/>
      <c r="F159" s="1361"/>
      <c r="G159" s="1362"/>
    </row>
    <row r="160" spans="1:7" ht="21.95" customHeight="1">
      <c r="A160" s="1333" t="s">
        <v>2152</v>
      </c>
      <c r="B160" s="1334"/>
      <c r="C160" s="1363"/>
      <c r="D160" s="1334"/>
      <c r="E160" s="1363"/>
      <c r="F160" s="1364">
        <f>F147+F151+F153</f>
        <v>41691.918900000004</v>
      </c>
      <c r="G160" s="1365"/>
    </row>
    <row r="161" spans="1:7" ht="21.95" customHeight="1">
      <c r="A161" s="1324" t="s">
        <v>565</v>
      </c>
      <c r="B161" s="1325"/>
      <c r="C161" s="1325"/>
      <c r="D161" s="1325"/>
      <c r="E161" s="1325"/>
      <c r="F161" s="1325"/>
      <c r="G161" s="1326"/>
    </row>
    <row r="162" spans="1:7" ht="21.95" customHeight="1">
      <c r="A162" s="1327"/>
      <c r="B162" s="1328"/>
      <c r="C162" s="1328"/>
      <c r="D162" s="1328"/>
      <c r="E162" s="1328"/>
      <c r="F162" s="1328"/>
      <c r="G162" s="1329"/>
    </row>
    <row r="163" spans="1:7" ht="21.95" customHeight="1">
      <c r="A163" s="1330" t="s">
        <v>566</v>
      </c>
      <c r="B163" s="1331"/>
      <c r="C163" s="1331"/>
      <c r="D163" s="1331"/>
      <c r="E163" s="1331"/>
      <c r="F163" s="1331"/>
      <c r="G163" s="1332"/>
    </row>
    <row r="164" spans="1:7" ht="21.95" customHeight="1">
      <c r="A164" s="1333" t="s">
        <v>137</v>
      </c>
      <c r="B164" s="1334" t="s">
        <v>541</v>
      </c>
      <c r="C164" s="1334" t="s">
        <v>2148</v>
      </c>
      <c r="D164" s="1334" t="s">
        <v>140</v>
      </c>
      <c r="E164" s="1334" t="s">
        <v>542</v>
      </c>
      <c r="F164" s="1334" t="s">
        <v>543</v>
      </c>
      <c r="G164" s="1335" t="s">
        <v>544</v>
      </c>
    </row>
    <row r="165" spans="1:7" ht="21.95" customHeight="1">
      <c r="A165" s="1336" t="s">
        <v>2149</v>
      </c>
      <c r="B165" s="1337" t="s">
        <v>545</v>
      </c>
      <c r="C165" s="1338"/>
      <c r="D165" s="1337"/>
      <c r="E165" s="1339"/>
      <c r="F165" s="1339"/>
      <c r="G165" s="1340"/>
    </row>
    <row r="166" spans="1:7" ht="21.95" customHeight="1">
      <c r="A166" s="1341"/>
      <c r="B166" s="1370" t="s">
        <v>567</v>
      </c>
      <c r="C166" s="1370">
        <v>1.87</v>
      </c>
      <c r="D166" s="1370" t="s">
        <v>568</v>
      </c>
      <c r="E166" s="1344">
        <v>55</v>
      </c>
      <c r="F166" s="1344">
        <f>E166*C166</f>
        <v>102.85000000000001</v>
      </c>
      <c r="G166" s="1345"/>
    </row>
    <row r="167" spans="1:7" ht="21.95" customHeight="1">
      <c r="A167" s="1346"/>
      <c r="B167" s="1347" t="s">
        <v>1947</v>
      </c>
      <c r="C167" s="1348"/>
      <c r="D167" s="1347"/>
      <c r="E167" s="1348"/>
      <c r="F167" s="1349">
        <f>SUM(F165:F166)</f>
        <v>102.85000000000001</v>
      </c>
      <c r="G167" s="1350"/>
    </row>
    <row r="168" spans="1:7" ht="21.95" customHeight="1">
      <c r="A168" s="1351" t="s">
        <v>2150</v>
      </c>
      <c r="B168" s="1369" t="s">
        <v>569</v>
      </c>
      <c r="C168" s="1353">
        <v>0.1208</v>
      </c>
      <c r="D168" s="1352" t="s">
        <v>1221</v>
      </c>
      <c r="E168" s="1354">
        <f ca="1">'테라토10-장비기준'!E14</f>
        <v>84942</v>
      </c>
      <c r="F168" s="1354">
        <f>ROUNDDOWN(C168*E168,0)</f>
        <v>10260</v>
      </c>
      <c r="G168" s="1355"/>
    </row>
    <row r="169" spans="1:7" ht="21.95" customHeight="1">
      <c r="A169" s="1341"/>
      <c r="B169" s="1342"/>
      <c r="C169" s="1356"/>
      <c r="D169" s="1342" t="s">
        <v>1221</v>
      </c>
      <c r="E169" s="1357"/>
      <c r="F169" s="1357">
        <f>ROUNDDOWN(C169*E169,0)</f>
        <v>0</v>
      </c>
      <c r="G169" s="1345"/>
    </row>
    <row r="170" spans="1:7" ht="21.95" customHeight="1">
      <c r="A170" s="1341"/>
      <c r="B170" s="1342"/>
      <c r="C170" s="1356"/>
      <c r="D170" s="1342" t="s">
        <v>1221</v>
      </c>
      <c r="E170" s="1357"/>
      <c r="F170" s="1357">
        <f>ROUNDDOWN(C170*E170,0)</f>
        <v>0</v>
      </c>
      <c r="G170" s="1345"/>
    </row>
    <row r="171" spans="1:7" ht="21.95" customHeight="1">
      <c r="A171" s="1346"/>
      <c r="B171" s="1347" t="s">
        <v>1947</v>
      </c>
      <c r="C171" s="1348"/>
      <c r="D171" s="1347"/>
      <c r="E171" s="1368"/>
      <c r="F171" s="1349">
        <f>SUM(F168:F170)</f>
        <v>10260</v>
      </c>
      <c r="G171" s="1350"/>
    </row>
    <row r="172" spans="1:7" ht="21.95" customHeight="1">
      <c r="A172" s="1351" t="s">
        <v>2207</v>
      </c>
      <c r="B172" s="1352" t="s">
        <v>2191</v>
      </c>
      <c r="C172" s="1353">
        <v>0.15329999999999999</v>
      </c>
      <c r="D172" s="1352"/>
      <c r="E172" s="1358">
        <v>21000</v>
      </c>
      <c r="F172" s="1358">
        <f>E172*C172</f>
        <v>3219.2999999999997</v>
      </c>
      <c r="G172" s="1355"/>
    </row>
    <row r="173" spans="1:7" ht="21.95" customHeight="1">
      <c r="A173" s="1346"/>
      <c r="B173" s="1347" t="s">
        <v>1947</v>
      </c>
      <c r="C173" s="1348"/>
      <c r="D173" s="1347"/>
      <c r="E173" s="1348"/>
      <c r="F173" s="1349">
        <f>SUM(F172)</f>
        <v>3219.2999999999997</v>
      </c>
      <c r="G173" s="1350"/>
    </row>
    <row r="174" spans="1:7" ht="21.95" customHeight="1">
      <c r="A174" s="1359"/>
      <c r="B174" s="1360"/>
      <c r="C174" s="1361"/>
      <c r="D174" s="1360"/>
      <c r="E174" s="1361"/>
      <c r="F174" s="1361"/>
      <c r="G174" s="1362"/>
    </row>
    <row r="175" spans="1:7" ht="21.95" customHeight="1">
      <c r="A175" s="1359"/>
      <c r="B175" s="1360"/>
      <c r="C175" s="1361"/>
      <c r="D175" s="1360"/>
      <c r="E175" s="1361"/>
      <c r="F175" s="1361"/>
      <c r="G175" s="1362"/>
    </row>
    <row r="176" spans="1:7" ht="21.95" customHeight="1">
      <c r="A176" s="1359"/>
      <c r="B176" s="1360"/>
      <c r="C176" s="1361"/>
      <c r="D176" s="1360"/>
      <c r="E176" s="1361"/>
      <c r="F176" s="1361"/>
      <c r="G176" s="1362"/>
    </row>
    <row r="177" spans="1:7" ht="21.95" customHeight="1">
      <c r="A177" s="1359"/>
      <c r="B177" s="1360"/>
      <c r="C177" s="1361"/>
      <c r="D177" s="1360"/>
      <c r="E177" s="1361"/>
      <c r="F177" s="1361"/>
      <c r="G177" s="1362"/>
    </row>
    <row r="178" spans="1:7" ht="21.95" customHeight="1">
      <c r="A178" s="1359"/>
      <c r="B178" s="1360"/>
      <c r="C178" s="1361"/>
      <c r="D178" s="1360"/>
      <c r="E178" s="1361"/>
      <c r="F178" s="1361"/>
      <c r="G178" s="1362"/>
    </row>
    <row r="179" spans="1:7" ht="21.95" customHeight="1">
      <c r="A179" s="1359"/>
      <c r="B179" s="1360"/>
      <c r="C179" s="1361"/>
      <c r="D179" s="1360"/>
      <c r="E179" s="1361"/>
      <c r="F179" s="1361"/>
      <c r="G179" s="1362"/>
    </row>
    <row r="180" spans="1:7" ht="21.95" customHeight="1">
      <c r="A180" s="1333" t="s">
        <v>2152</v>
      </c>
      <c r="B180" s="1334"/>
      <c r="C180" s="1363"/>
      <c r="D180" s="1334"/>
      <c r="E180" s="1363"/>
      <c r="F180" s="1364">
        <f>F167+F171+F173</f>
        <v>13582.15</v>
      </c>
      <c r="G180" s="1365"/>
    </row>
  </sheetData>
  <phoneticPr fontId="116" type="noConversion"/>
  <pageMargins left="0.87" right="0.75" top="1" bottom="1" header="0.5" footer="0.5"/>
  <pageSetup paperSize="9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A6" sqref="A6:F6"/>
    </sheetView>
  </sheetViews>
  <sheetFormatPr defaultColWidth="8" defaultRowHeight="13.5"/>
  <cols>
    <col min="1" max="1" width="8" style="1466"/>
    <col min="2" max="2" width="10" style="1466" customWidth="1"/>
    <col min="3" max="3" width="15.5546875" style="1466" customWidth="1"/>
    <col min="4" max="4" width="2.88671875" style="1466" bestFit="1" customWidth="1"/>
    <col min="5" max="5" width="8.33203125" style="1466" bestFit="1" customWidth="1"/>
    <col min="6" max="6" width="2.88671875" style="1466" bestFit="1" customWidth="1"/>
    <col min="7" max="7" width="5" style="1466" customWidth="1"/>
    <col min="8" max="8" width="2.109375" style="1466" bestFit="1" customWidth="1"/>
    <col min="9" max="9" width="5" style="1466" customWidth="1"/>
    <col min="10" max="10" width="2.109375" style="1466" bestFit="1" customWidth="1"/>
    <col min="11" max="11" width="5" style="1466" customWidth="1"/>
    <col min="12" max="12" width="2.109375" style="1466" bestFit="1" customWidth="1"/>
    <col min="13" max="13" width="5" style="1466" customWidth="1"/>
    <col min="14" max="14" width="2.109375" style="1466" bestFit="1" customWidth="1"/>
    <col min="15" max="15" width="5" style="1466" customWidth="1"/>
    <col min="16" max="16" width="2.109375" style="1466" bestFit="1" customWidth="1"/>
    <col min="17" max="17" width="5" style="1466" customWidth="1"/>
    <col min="18" max="18" width="2.109375" style="1466" bestFit="1" customWidth="1"/>
    <col min="19" max="19" width="9.77734375" style="1466" customWidth="1"/>
    <col min="20" max="20" width="8" style="1466"/>
    <col min="21" max="21" width="9.44140625" style="1466" customWidth="1"/>
    <col min="22" max="16384" width="8" style="1466"/>
  </cols>
  <sheetData>
    <row r="1" spans="1:21" ht="24.95" customHeight="1">
      <c r="A1" s="1493"/>
      <c r="B1" s="1494"/>
      <c r="C1" s="1494"/>
      <c r="D1" s="1494"/>
      <c r="E1" s="1494"/>
      <c r="F1" s="1494"/>
      <c r="G1" s="1494"/>
      <c r="H1" s="1494"/>
      <c r="I1" s="1494"/>
      <c r="J1" s="1494"/>
      <c r="K1" s="1494"/>
      <c r="L1" s="1494"/>
      <c r="M1" s="1494"/>
      <c r="N1" s="1494"/>
      <c r="O1" s="1494"/>
      <c r="P1" s="1494"/>
      <c r="Q1" s="1494"/>
      <c r="R1" s="1494"/>
      <c r="S1" s="1494"/>
      <c r="T1" s="1494"/>
      <c r="U1" s="1495"/>
    </row>
    <row r="2" spans="1:21" ht="24.95" customHeight="1">
      <c r="A2" s="1640" t="s">
        <v>570</v>
      </c>
      <c r="B2" s="1641"/>
      <c r="C2" s="1641"/>
      <c r="D2" s="1641"/>
      <c r="E2" s="1641"/>
      <c r="F2" s="1641"/>
      <c r="G2" s="1641"/>
      <c r="H2" s="1641"/>
      <c r="I2" s="1641"/>
      <c r="J2" s="1641"/>
      <c r="K2" s="1641"/>
      <c r="L2" s="1641"/>
      <c r="M2" s="1641"/>
      <c r="N2" s="1641"/>
      <c r="O2" s="1641"/>
      <c r="P2" s="1641"/>
      <c r="Q2" s="1641"/>
      <c r="R2" s="1641"/>
      <c r="S2" s="1641"/>
      <c r="T2" s="1641"/>
      <c r="U2" s="1642"/>
    </row>
    <row r="3" spans="1:21" ht="24.95" customHeight="1">
      <c r="A3" s="1375"/>
      <c r="B3" s="1376"/>
      <c r="C3" s="1376"/>
      <c r="D3" s="1374"/>
      <c r="E3" s="1376"/>
      <c r="F3" s="1376"/>
      <c r="G3" s="1376"/>
      <c r="H3" s="1376"/>
      <c r="I3" s="1376"/>
      <c r="J3" s="1376"/>
      <c r="K3" s="1376"/>
      <c r="L3" s="1376"/>
      <c r="M3" s="1376"/>
      <c r="N3" s="1376"/>
      <c r="O3" s="1376"/>
      <c r="P3" s="1376"/>
      <c r="Q3" s="1376"/>
      <c r="R3" s="1376"/>
      <c r="S3" s="1376"/>
      <c r="T3" s="1376"/>
      <c r="U3" s="1377"/>
    </row>
    <row r="4" spans="1:21" ht="24.95" customHeight="1">
      <c r="A4" s="1375"/>
      <c r="B4" s="1376" t="s">
        <v>571</v>
      </c>
      <c r="C4" s="1376"/>
      <c r="D4" s="1374"/>
      <c r="E4" s="1376"/>
      <c r="F4" s="1376"/>
      <c r="G4" s="1376"/>
      <c r="H4" s="1376"/>
      <c r="I4" s="1376"/>
      <c r="J4" s="1376"/>
      <c r="K4" s="1376"/>
      <c r="L4" s="1376"/>
      <c r="M4" s="1376"/>
      <c r="N4" s="1376"/>
      <c r="O4" s="1376"/>
      <c r="P4" s="1376"/>
      <c r="Q4" s="1376"/>
      <c r="R4" s="1376"/>
      <c r="S4" s="1376"/>
      <c r="T4" s="1376"/>
      <c r="U4" s="1377"/>
    </row>
    <row r="5" spans="1:21" ht="24.95" customHeight="1">
      <c r="A5" s="1375"/>
      <c r="B5" s="1376"/>
      <c r="C5" s="1376" t="s">
        <v>572</v>
      </c>
      <c r="D5" s="1374" t="s">
        <v>573</v>
      </c>
      <c r="E5" s="1378">
        <v>1380</v>
      </c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6"/>
      <c r="S5" s="1376"/>
      <c r="T5" s="1376"/>
      <c r="U5" s="1377"/>
    </row>
    <row r="6" spans="1:21" ht="24.95" customHeight="1">
      <c r="A6" s="1375"/>
      <c r="B6" s="1376"/>
      <c r="C6" s="1376"/>
      <c r="D6" s="1374"/>
      <c r="E6" s="1376"/>
      <c r="F6" s="1376"/>
      <c r="G6" s="1376"/>
      <c r="H6" s="1376"/>
      <c r="I6" s="1376"/>
      <c r="J6" s="1376"/>
      <c r="K6" s="1376"/>
      <c r="L6" s="1376"/>
      <c r="M6" s="1376"/>
      <c r="N6" s="1376"/>
      <c r="O6" s="1376"/>
      <c r="P6" s="1376"/>
      <c r="Q6" s="1376"/>
      <c r="R6" s="1376"/>
      <c r="S6" s="1376"/>
      <c r="T6" s="1376"/>
      <c r="U6" s="1377"/>
    </row>
    <row r="7" spans="1:21" ht="24.95" customHeight="1">
      <c r="A7" s="1375"/>
      <c r="B7" s="1376" t="s">
        <v>574</v>
      </c>
      <c r="C7" s="1376"/>
      <c r="D7" s="1374"/>
      <c r="E7" s="1376"/>
      <c r="F7" s="1376"/>
      <c r="G7" s="1376"/>
      <c r="H7" s="1376"/>
      <c r="I7" s="1376"/>
      <c r="J7" s="1376"/>
      <c r="K7" s="1376"/>
      <c r="L7" s="1376"/>
      <c r="M7" s="1376"/>
      <c r="N7" s="1376"/>
      <c r="O7" s="1376"/>
      <c r="P7" s="1376"/>
      <c r="Q7" s="1376"/>
      <c r="R7" s="1376"/>
      <c r="S7" s="1376"/>
      <c r="T7" s="1376"/>
      <c r="U7" s="1377"/>
    </row>
    <row r="8" spans="1:21" ht="24.95" customHeight="1">
      <c r="A8" s="1375"/>
      <c r="B8" s="1376"/>
      <c r="C8" s="1376" t="s">
        <v>575</v>
      </c>
      <c r="D8" s="1374" t="s">
        <v>1733</v>
      </c>
      <c r="E8" s="1379">
        <f ca="1">'테라토10-단가적용'!J10</f>
        <v>1322</v>
      </c>
      <c r="F8" s="1374" t="s">
        <v>119</v>
      </c>
      <c r="G8" s="1376"/>
      <c r="H8" s="1376"/>
      <c r="I8" s="1376"/>
      <c r="J8" s="1376"/>
      <c r="K8" s="1376"/>
      <c r="L8" s="1376"/>
      <c r="M8" s="1376"/>
      <c r="N8" s="1376"/>
      <c r="O8" s="1376"/>
      <c r="P8" s="1376"/>
      <c r="Q8" s="1376"/>
      <c r="R8" s="1376"/>
      <c r="S8" s="1376"/>
      <c r="T8" s="1376"/>
      <c r="U8" s="1377"/>
    </row>
    <row r="9" spans="1:21" ht="24.95" customHeight="1">
      <c r="A9" s="1375"/>
      <c r="B9" s="1376"/>
      <c r="C9" s="1376"/>
      <c r="D9" s="1374"/>
      <c r="E9" s="1379"/>
      <c r="F9" s="1374"/>
      <c r="G9" s="1376"/>
      <c r="H9" s="1376"/>
      <c r="I9" s="1376"/>
      <c r="J9" s="1376"/>
      <c r="K9" s="1376"/>
      <c r="L9" s="1376"/>
      <c r="M9" s="1376"/>
      <c r="N9" s="1376"/>
      <c r="O9" s="1376"/>
      <c r="P9" s="1376"/>
      <c r="Q9" s="1376"/>
      <c r="R9" s="1376"/>
      <c r="S9" s="1376"/>
      <c r="T9" s="1376"/>
      <c r="U9" s="1377"/>
    </row>
    <row r="10" spans="1:21" ht="24.95" customHeight="1">
      <c r="A10" s="1375"/>
      <c r="B10" s="1376" t="s">
        <v>576</v>
      </c>
      <c r="C10" s="1376"/>
      <c r="D10" s="1374"/>
      <c r="E10" s="1376"/>
      <c r="F10" s="1376"/>
      <c r="G10" s="1376"/>
      <c r="H10" s="1376"/>
      <c r="I10" s="1376"/>
      <c r="J10" s="1376"/>
      <c r="K10" s="1376"/>
      <c r="L10" s="1376"/>
      <c r="M10" s="1376"/>
      <c r="N10" s="1376"/>
      <c r="O10" s="1376"/>
      <c r="P10" s="1376"/>
      <c r="Q10" s="1376"/>
      <c r="R10" s="1376"/>
      <c r="S10" s="1376"/>
      <c r="T10" s="1376"/>
      <c r="U10" s="1377"/>
    </row>
    <row r="11" spans="1:21" ht="24.95" customHeight="1">
      <c r="A11" s="1375"/>
      <c r="B11" s="1376"/>
      <c r="C11" s="1376" t="s">
        <v>548</v>
      </c>
      <c r="D11" s="1374" t="s">
        <v>1733</v>
      </c>
      <c r="E11" s="1380">
        <f ca="1">'테라토10-단가적용'!J17</f>
        <v>98693</v>
      </c>
      <c r="F11" s="1374" t="s">
        <v>1071</v>
      </c>
      <c r="G11" s="1374">
        <v>16</v>
      </c>
      <c r="H11" s="1374" t="s">
        <v>1048</v>
      </c>
      <c r="I11" s="1374">
        <v>12</v>
      </c>
      <c r="J11" s="1374" t="s">
        <v>1071</v>
      </c>
      <c r="K11" s="1374">
        <v>1</v>
      </c>
      <c r="L11" s="1374" t="s">
        <v>1048</v>
      </c>
      <c r="M11" s="1374">
        <v>8</v>
      </c>
      <c r="N11" s="1374" t="s">
        <v>1071</v>
      </c>
      <c r="O11" s="1374">
        <v>25</v>
      </c>
      <c r="P11" s="1374" t="s">
        <v>1048</v>
      </c>
      <c r="Q11" s="1374">
        <v>20</v>
      </c>
      <c r="R11" s="1374" t="s">
        <v>1052</v>
      </c>
      <c r="S11" s="1380">
        <f>ROUNDDOWN(E11*G11/I11*1/8*25/20,0)</f>
        <v>20561</v>
      </c>
      <c r="T11" s="1376"/>
      <c r="U11" s="1377"/>
    </row>
    <row r="12" spans="1:21" ht="24.95" customHeight="1">
      <c r="A12" s="1375"/>
      <c r="B12" s="1376"/>
      <c r="C12" s="1376" t="s">
        <v>549</v>
      </c>
      <c r="D12" s="1374" t="s">
        <v>1733</v>
      </c>
      <c r="E12" s="1380">
        <f ca="1">'테라토10-단가적용'!J19</f>
        <v>55282</v>
      </c>
      <c r="F12" s="1374" t="s">
        <v>1071</v>
      </c>
      <c r="G12" s="1374">
        <v>16</v>
      </c>
      <c r="H12" s="1374" t="s">
        <v>1048</v>
      </c>
      <c r="I12" s="1374">
        <v>12</v>
      </c>
      <c r="J12" s="1374" t="s">
        <v>1071</v>
      </c>
      <c r="K12" s="1374">
        <v>1</v>
      </c>
      <c r="L12" s="1374" t="s">
        <v>1048</v>
      </c>
      <c r="M12" s="1374">
        <v>8</v>
      </c>
      <c r="N12" s="1374" t="s">
        <v>1071</v>
      </c>
      <c r="O12" s="1374">
        <v>25</v>
      </c>
      <c r="P12" s="1374" t="s">
        <v>1048</v>
      </c>
      <c r="Q12" s="1374">
        <v>20</v>
      </c>
      <c r="R12" s="1374" t="s">
        <v>1052</v>
      </c>
      <c r="S12" s="1380">
        <f>ROUNDDOWN(E12*G12/I12*1/8*25/20,0)</f>
        <v>11517</v>
      </c>
      <c r="T12" s="1376"/>
      <c r="U12" s="1377"/>
    </row>
    <row r="13" spans="1:21" ht="24.95" customHeight="1">
      <c r="A13" s="1375"/>
      <c r="B13" s="1376"/>
      <c r="C13" s="1376" t="s">
        <v>550</v>
      </c>
      <c r="D13" s="1374" t="s">
        <v>1733</v>
      </c>
      <c r="E13" s="1380">
        <f ca="1">'테라토10-단가적용'!J18</f>
        <v>94350</v>
      </c>
      <c r="F13" s="1374" t="s">
        <v>1071</v>
      </c>
      <c r="G13" s="1374">
        <v>16</v>
      </c>
      <c r="H13" s="1374" t="s">
        <v>1048</v>
      </c>
      <c r="I13" s="1374">
        <v>12</v>
      </c>
      <c r="J13" s="1374" t="s">
        <v>1071</v>
      </c>
      <c r="K13" s="1374">
        <v>1</v>
      </c>
      <c r="L13" s="1374" t="s">
        <v>1048</v>
      </c>
      <c r="M13" s="1374">
        <v>8</v>
      </c>
      <c r="N13" s="1374" t="s">
        <v>1071</v>
      </c>
      <c r="O13" s="1374">
        <v>25</v>
      </c>
      <c r="P13" s="1374" t="s">
        <v>1048</v>
      </c>
      <c r="Q13" s="1374">
        <v>20</v>
      </c>
      <c r="R13" s="1374" t="s">
        <v>1052</v>
      </c>
      <c r="S13" s="1380">
        <f>ROUNDDOWN(E13*G13/I13*1/8*25/20,0)</f>
        <v>19656</v>
      </c>
      <c r="T13" s="1376"/>
      <c r="U13" s="1377"/>
    </row>
    <row r="14" spans="1:21" ht="24.95" customHeight="1">
      <c r="A14" s="1375"/>
      <c r="B14" s="1376"/>
      <c r="C14" s="1376" t="s">
        <v>577</v>
      </c>
      <c r="D14" s="1374" t="s">
        <v>1733</v>
      </c>
      <c r="E14" s="1381">
        <f ca="1">'테라토10-단가적용'!J20</f>
        <v>84942</v>
      </c>
      <c r="F14" s="1374" t="s">
        <v>1071</v>
      </c>
      <c r="G14" s="1374">
        <v>16</v>
      </c>
      <c r="H14" s="1374" t="s">
        <v>1048</v>
      </c>
      <c r="I14" s="1374">
        <v>12</v>
      </c>
      <c r="J14" s="1374" t="s">
        <v>1071</v>
      </c>
      <c r="K14" s="1374">
        <v>1</v>
      </c>
      <c r="L14" s="1374" t="s">
        <v>1048</v>
      </c>
      <c r="M14" s="1374">
        <v>8</v>
      </c>
      <c r="N14" s="1374" t="s">
        <v>1071</v>
      </c>
      <c r="O14" s="1374">
        <v>25</v>
      </c>
      <c r="P14" s="1374" t="s">
        <v>1048</v>
      </c>
      <c r="Q14" s="1374">
        <v>20</v>
      </c>
      <c r="R14" s="1374" t="s">
        <v>1052</v>
      </c>
      <c r="S14" s="1380">
        <f>ROUNDDOWN(E14*G14/I14*1/8*25/20,0)</f>
        <v>17696</v>
      </c>
      <c r="T14" s="1376"/>
      <c r="U14" s="1377"/>
    </row>
    <row r="15" spans="1:21" ht="24.95" customHeight="1">
      <c r="A15" s="1375"/>
      <c r="B15" s="1376"/>
      <c r="C15" s="1376"/>
      <c r="D15" s="1374"/>
      <c r="E15" s="1376"/>
      <c r="F15" s="1376"/>
      <c r="G15" s="1376"/>
      <c r="H15" s="1376"/>
      <c r="I15" s="1376"/>
      <c r="J15" s="1376"/>
      <c r="K15" s="1376"/>
      <c r="L15" s="1376"/>
      <c r="M15" s="1376"/>
      <c r="N15" s="1376"/>
      <c r="O15" s="1376"/>
      <c r="P15" s="1376"/>
      <c r="Q15" s="1376"/>
      <c r="R15" s="1376"/>
      <c r="S15" s="1376"/>
      <c r="T15" s="1376"/>
      <c r="U15" s="1377"/>
    </row>
    <row r="16" spans="1:21" ht="24.95" customHeight="1">
      <c r="A16" s="1375"/>
      <c r="B16" s="1376"/>
      <c r="C16" s="1376"/>
      <c r="D16" s="1374"/>
      <c r="E16" s="1376"/>
      <c r="F16" s="1376"/>
      <c r="G16" s="1376"/>
      <c r="H16" s="1376"/>
      <c r="I16" s="1376"/>
      <c r="J16" s="1376"/>
      <c r="K16" s="1376"/>
      <c r="L16" s="1376"/>
      <c r="M16" s="1376"/>
      <c r="N16" s="1376"/>
      <c r="O16" s="1376"/>
      <c r="P16" s="1376"/>
      <c r="Q16" s="1376"/>
      <c r="R16" s="1376"/>
      <c r="S16" s="1376"/>
      <c r="T16" s="1376"/>
      <c r="U16" s="1377"/>
    </row>
    <row r="17" spans="1:21" ht="38.25" customHeight="1">
      <c r="A17" s="1382"/>
      <c r="B17" s="1383"/>
      <c r="C17" s="1383"/>
      <c r="D17" s="1384"/>
      <c r="E17" s="1383"/>
      <c r="F17" s="1383"/>
      <c r="G17" s="1383"/>
      <c r="H17" s="1383"/>
      <c r="I17" s="1383"/>
      <c r="J17" s="1383"/>
      <c r="K17" s="1383"/>
      <c r="L17" s="1383"/>
      <c r="M17" s="1383"/>
      <c r="N17" s="1383"/>
      <c r="O17" s="1383"/>
      <c r="P17" s="1383"/>
      <c r="Q17" s="1383"/>
      <c r="R17" s="1383"/>
      <c r="S17" s="1383"/>
      <c r="T17" s="1383"/>
      <c r="U17" s="1385"/>
    </row>
  </sheetData>
  <mergeCells count="1">
    <mergeCell ref="A2:U2"/>
  </mergeCells>
  <phoneticPr fontId="116" type="noConversion"/>
  <pageMargins left="0.77" right="0.75" top="1.03" bottom="1" header="0.5" footer="0.5"/>
  <pageSetup paperSize="9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F6"/>
    </sheetView>
  </sheetViews>
  <sheetFormatPr defaultColWidth="8" defaultRowHeight="13.5"/>
  <cols>
    <col min="1" max="1" width="17.44140625" style="1466" customWidth="1"/>
    <col min="2" max="2" width="19" style="1466" customWidth="1"/>
    <col min="3" max="3" width="5.21875" style="1466" customWidth="1"/>
    <col min="4" max="9" width="10.33203125" style="1466" customWidth="1"/>
    <col min="10" max="10" width="12.6640625" style="1466" customWidth="1"/>
    <col min="11" max="16384" width="8" style="1466"/>
  </cols>
  <sheetData>
    <row r="1" spans="1:10" ht="18" customHeight="1">
      <c r="A1" s="1661" t="s">
        <v>329</v>
      </c>
      <c r="B1" s="1663" t="s">
        <v>330</v>
      </c>
      <c r="C1" s="1663" t="s">
        <v>983</v>
      </c>
      <c r="D1" s="1667" t="s">
        <v>609</v>
      </c>
      <c r="E1" s="1668"/>
      <c r="F1" s="1651" t="s">
        <v>610</v>
      </c>
      <c r="G1" s="1652"/>
      <c r="H1" s="1496" t="s">
        <v>611</v>
      </c>
      <c r="I1" s="1387"/>
      <c r="J1" s="1665" t="s">
        <v>331</v>
      </c>
    </row>
    <row r="2" spans="1:10" ht="18" customHeight="1">
      <c r="A2" s="1662"/>
      <c r="B2" s="1664"/>
      <c r="C2" s="1664"/>
      <c r="D2" s="1497" t="s">
        <v>926</v>
      </c>
      <c r="E2" s="1389" t="s">
        <v>332</v>
      </c>
      <c r="F2" s="1497" t="s">
        <v>926</v>
      </c>
      <c r="G2" s="1389" t="s">
        <v>332</v>
      </c>
      <c r="H2" s="1497" t="s">
        <v>926</v>
      </c>
      <c r="I2" s="1389" t="s">
        <v>332</v>
      </c>
      <c r="J2" s="1666"/>
    </row>
    <row r="3" spans="1:10" ht="18" customHeight="1">
      <c r="A3" s="1498" t="s">
        <v>612</v>
      </c>
      <c r="B3" s="1499" t="s">
        <v>613</v>
      </c>
      <c r="C3" s="1500" t="s">
        <v>614</v>
      </c>
      <c r="D3" s="1500"/>
      <c r="E3" s="1393"/>
      <c r="F3" s="1393"/>
      <c r="G3" s="1393"/>
      <c r="H3" s="1501">
        <v>287</v>
      </c>
      <c r="I3" s="1389">
        <v>600</v>
      </c>
      <c r="J3" s="1395">
        <f>I3</f>
        <v>600</v>
      </c>
    </row>
    <row r="4" spans="1:10" ht="18" customHeight="1">
      <c r="A4" s="1498" t="s">
        <v>615</v>
      </c>
      <c r="B4" s="1499" t="s">
        <v>616</v>
      </c>
      <c r="C4" s="1500" t="s">
        <v>614</v>
      </c>
      <c r="D4" s="1500"/>
      <c r="E4" s="1393"/>
      <c r="F4" s="1393"/>
      <c r="G4" s="1393"/>
      <c r="H4" s="1501">
        <v>287</v>
      </c>
      <c r="I4" s="1396">
        <v>400</v>
      </c>
      <c r="J4" s="1395">
        <f>I4</f>
        <v>400</v>
      </c>
    </row>
    <row r="5" spans="1:10" ht="18" customHeight="1">
      <c r="A5" s="1498" t="s">
        <v>617</v>
      </c>
      <c r="B5" s="1499" t="s">
        <v>618</v>
      </c>
      <c r="C5" s="1500" t="s">
        <v>619</v>
      </c>
      <c r="D5" s="1500"/>
      <c r="E5" s="1393"/>
      <c r="F5" s="1393"/>
      <c r="G5" s="1393">
        <v>50000</v>
      </c>
      <c r="H5" s="1501"/>
      <c r="I5" s="1396"/>
      <c r="J5" s="1395">
        <f>G5</f>
        <v>50000</v>
      </c>
    </row>
    <row r="6" spans="1:10" ht="18" customHeight="1">
      <c r="A6" s="1498" t="s">
        <v>620</v>
      </c>
      <c r="B6" s="1499" t="s">
        <v>621</v>
      </c>
      <c r="C6" s="1500" t="s">
        <v>622</v>
      </c>
      <c r="D6" s="1500"/>
      <c r="E6" s="1393"/>
      <c r="F6" s="1393"/>
      <c r="G6" s="1393"/>
      <c r="H6" s="1501">
        <v>287</v>
      </c>
      <c r="I6" s="1396">
        <v>240</v>
      </c>
      <c r="J6" s="1395">
        <f>I6</f>
        <v>240</v>
      </c>
    </row>
    <row r="7" spans="1:10" ht="19.5" customHeight="1">
      <c r="A7" s="1498" t="s">
        <v>623</v>
      </c>
      <c r="B7" s="1499" t="s">
        <v>624</v>
      </c>
      <c r="C7" s="1500" t="s">
        <v>625</v>
      </c>
      <c r="D7" s="1500"/>
      <c r="E7" s="1393"/>
      <c r="F7" s="1393"/>
      <c r="G7" s="1393"/>
      <c r="H7" s="1501">
        <v>287</v>
      </c>
      <c r="I7" s="1396">
        <v>3260</v>
      </c>
      <c r="J7" s="1395">
        <f>I7</f>
        <v>3260</v>
      </c>
    </row>
    <row r="8" spans="1:10" ht="19.5" customHeight="1">
      <c r="A8" s="1498" t="s">
        <v>626</v>
      </c>
      <c r="B8" s="1499" t="s">
        <v>627</v>
      </c>
      <c r="C8" s="1500" t="s">
        <v>628</v>
      </c>
      <c r="D8" s="1500"/>
      <c r="E8" s="1393"/>
      <c r="F8" s="1393"/>
      <c r="G8" s="1393"/>
      <c r="H8" s="1501">
        <v>302</v>
      </c>
      <c r="I8" s="1396">
        <v>18000</v>
      </c>
      <c r="J8" s="1395">
        <f>I8</f>
        <v>18000</v>
      </c>
    </row>
    <row r="9" spans="1:10" ht="19.5" customHeight="1">
      <c r="A9" s="1498" t="s">
        <v>629</v>
      </c>
      <c r="B9" s="1499" t="s">
        <v>630</v>
      </c>
      <c r="C9" s="1500" t="s">
        <v>631</v>
      </c>
      <c r="D9" s="1500"/>
      <c r="E9" s="1393"/>
      <c r="F9" s="1393"/>
      <c r="G9" s="1393"/>
      <c r="H9" s="1501">
        <v>302</v>
      </c>
      <c r="I9" s="1393">
        <v>185000</v>
      </c>
      <c r="J9" s="1395">
        <f>I9</f>
        <v>185000</v>
      </c>
    </row>
    <row r="10" spans="1:10" ht="19.5" customHeight="1">
      <c r="A10" s="1498" t="s">
        <v>632</v>
      </c>
      <c r="B10" s="1499"/>
      <c r="C10" s="1500" t="s">
        <v>633</v>
      </c>
      <c r="D10" s="1500"/>
      <c r="E10" s="1393"/>
      <c r="F10" s="1393"/>
      <c r="G10" s="1393"/>
      <c r="H10" s="1501">
        <v>1255</v>
      </c>
      <c r="I10" s="1396">
        <v>1322</v>
      </c>
      <c r="J10" s="1398">
        <f>I10</f>
        <v>1322</v>
      </c>
    </row>
    <row r="11" spans="1:10" ht="13.5" customHeight="1">
      <c r="A11" s="1498"/>
      <c r="B11" s="1499"/>
      <c r="C11" s="1500"/>
      <c r="D11" s="1500"/>
      <c r="E11" s="1393"/>
      <c r="F11" s="1393"/>
      <c r="G11" s="1393"/>
      <c r="H11" s="1396"/>
      <c r="I11" s="1396"/>
      <c r="J11" s="1398"/>
    </row>
    <row r="12" spans="1:10" ht="18" customHeight="1">
      <c r="A12" s="1502" t="s">
        <v>634</v>
      </c>
      <c r="B12" s="1499"/>
      <c r="C12" s="1500" t="s">
        <v>635</v>
      </c>
      <c r="D12" s="1500"/>
      <c r="E12" s="1500"/>
      <c r="F12" s="1500"/>
      <c r="G12" s="1500"/>
      <c r="H12" s="1503"/>
      <c r="I12" s="1503"/>
      <c r="J12" s="1395">
        <v>68965</v>
      </c>
    </row>
    <row r="13" spans="1:10" ht="18" customHeight="1">
      <c r="A13" s="1502" t="s">
        <v>636</v>
      </c>
      <c r="B13" s="1499"/>
      <c r="C13" s="1500" t="s">
        <v>635</v>
      </c>
      <c r="D13" s="1500"/>
      <c r="E13" s="1500"/>
      <c r="F13" s="1500"/>
      <c r="G13" s="1500"/>
      <c r="H13" s="1503"/>
      <c r="I13" s="1503"/>
      <c r="J13" s="1395">
        <v>84404</v>
      </c>
    </row>
    <row r="14" spans="1:10" ht="18" customHeight="1">
      <c r="A14" s="1502" t="s">
        <v>637</v>
      </c>
      <c r="B14" s="1499"/>
      <c r="C14" s="1500" t="s">
        <v>635</v>
      </c>
      <c r="D14" s="1500"/>
      <c r="E14" s="1500"/>
      <c r="F14" s="1500"/>
      <c r="G14" s="1500"/>
      <c r="H14" s="1503"/>
      <c r="I14" s="1503"/>
      <c r="J14" s="1395">
        <v>92218</v>
      </c>
    </row>
    <row r="15" spans="1:10" ht="18" customHeight="1">
      <c r="A15" s="1502" t="s">
        <v>638</v>
      </c>
      <c r="B15" s="1499"/>
      <c r="C15" s="1500" t="s">
        <v>635</v>
      </c>
      <c r="D15" s="1500"/>
      <c r="E15" s="1500"/>
      <c r="F15" s="1500"/>
      <c r="G15" s="1500"/>
      <c r="H15" s="1503"/>
      <c r="I15" s="1503"/>
      <c r="J15" s="1395">
        <v>86521</v>
      </c>
    </row>
    <row r="16" spans="1:10" ht="18" customHeight="1">
      <c r="A16" s="1502" t="s">
        <v>639</v>
      </c>
      <c r="B16" s="1499"/>
      <c r="C16" s="1500" t="s">
        <v>635</v>
      </c>
      <c r="D16" s="1500"/>
      <c r="E16" s="1500"/>
      <c r="F16" s="1500"/>
      <c r="G16" s="1500"/>
      <c r="H16" s="1503"/>
      <c r="I16" s="1503"/>
      <c r="J16" s="1395">
        <v>79533</v>
      </c>
    </row>
    <row r="17" spans="1:10" ht="18" customHeight="1">
      <c r="A17" s="1498" t="s">
        <v>640</v>
      </c>
      <c r="B17" s="1499"/>
      <c r="C17" s="1500" t="s">
        <v>641</v>
      </c>
      <c r="D17" s="1500"/>
      <c r="E17" s="1500"/>
      <c r="F17" s="1500"/>
      <c r="G17" s="1500"/>
      <c r="H17" s="1396"/>
      <c r="I17" s="1396"/>
      <c r="J17" s="1398">
        <v>98693</v>
      </c>
    </row>
    <row r="18" spans="1:10" ht="18" customHeight="1">
      <c r="A18" s="1498" t="s">
        <v>642</v>
      </c>
      <c r="B18" s="1499"/>
      <c r="C18" s="1500" t="s">
        <v>641</v>
      </c>
      <c r="D18" s="1500"/>
      <c r="E18" s="1500"/>
      <c r="F18" s="1500"/>
      <c r="G18" s="1500"/>
      <c r="H18" s="1396"/>
      <c r="I18" s="1396"/>
      <c r="J18" s="1398">
        <v>94350</v>
      </c>
    </row>
    <row r="19" spans="1:10" ht="18" customHeight="1">
      <c r="A19" s="1498" t="s">
        <v>643</v>
      </c>
      <c r="B19" s="1499"/>
      <c r="C19" s="1500" t="s">
        <v>641</v>
      </c>
      <c r="D19" s="1500"/>
      <c r="E19" s="1500"/>
      <c r="F19" s="1500"/>
      <c r="G19" s="1500"/>
      <c r="H19" s="1503"/>
      <c r="I19" s="1503"/>
      <c r="J19" s="1398">
        <v>55282</v>
      </c>
    </row>
    <row r="20" spans="1:10" ht="18" customHeight="1">
      <c r="A20" s="1502" t="s">
        <v>644</v>
      </c>
      <c r="B20" s="1499"/>
      <c r="C20" s="1500" t="s">
        <v>641</v>
      </c>
      <c r="D20" s="1500"/>
      <c r="E20" s="1500"/>
      <c r="F20" s="1500"/>
      <c r="G20" s="1500"/>
      <c r="H20" s="1503"/>
      <c r="I20" s="1503"/>
      <c r="J20" s="1395">
        <v>84942</v>
      </c>
    </row>
    <row r="21" spans="1:10" ht="18" customHeight="1">
      <c r="A21" s="1502"/>
      <c r="B21" s="1499"/>
      <c r="C21" s="1500"/>
      <c r="D21" s="1500"/>
      <c r="E21" s="1500"/>
      <c r="F21" s="1500"/>
      <c r="G21" s="1500"/>
      <c r="H21" s="1503"/>
      <c r="I21" s="1503"/>
      <c r="J21" s="1395"/>
    </row>
    <row r="22" spans="1:10" ht="18" customHeight="1">
      <c r="A22" s="1502"/>
      <c r="B22" s="1499"/>
      <c r="C22" s="1500"/>
      <c r="D22" s="1500"/>
      <c r="E22" s="1500"/>
      <c r="F22" s="1500"/>
      <c r="G22" s="1500"/>
      <c r="H22" s="1503"/>
      <c r="I22" s="1503"/>
      <c r="J22" s="1395"/>
    </row>
    <row r="23" spans="1:10" ht="18" customHeight="1">
      <c r="A23" s="1502"/>
      <c r="B23" s="1499"/>
      <c r="C23" s="1500"/>
      <c r="D23" s="1500"/>
      <c r="E23" s="1500"/>
      <c r="F23" s="1500"/>
      <c r="G23" s="1500"/>
      <c r="H23" s="1503"/>
      <c r="I23" s="1503"/>
      <c r="J23" s="1395"/>
    </row>
    <row r="24" spans="1:10" ht="18" customHeight="1">
      <c r="A24" s="1401" t="s">
        <v>645</v>
      </c>
      <c r="B24" s="1402"/>
      <c r="C24" s="1504"/>
      <c r="D24" s="1504"/>
      <c r="E24" s="1504"/>
      <c r="F24" s="1504"/>
      <c r="G24" s="1504"/>
      <c r="H24" s="1505"/>
      <c r="I24" s="1505"/>
      <c r="J24" s="1405"/>
    </row>
  </sheetData>
  <mergeCells count="6">
    <mergeCell ref="A1:A2"/>
    <mergeCell ref="B1:B2"/>
    <mergeCell ref="C1:C2"/>
    <mergeCell ref="J1:J2"/>
    <mergeCell ref="D1:E1"/>
    <mergeCell ref="F1:G1"/>
  </mergeCells>
  <phoneticPr fontId="116" type="noConversion"/>
  <pageMargins left="0.85" right="0.75" top="1.1299999999999999" bottom="0.64" header="0.5" footer="0.5"/>
  <pageSetup paperSize="9" orientation="landscape" horizontalDpi="300" verticalDpi="300" r:id="rId1"/>
  <headerFooter alignWithMargins="0">
    <oddHeader>&amp;L적용단가-자재 및 인건비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2196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enableFormatConditionsCalculation="0">
    <tabColor indexed="33"/>
  </sheetPr>
  <dimension ref="A1:N29"/>
  <sheetViews>
    <sheetView topLeftCell="A4" zoomScaleSheetLayoutView="90" workbookViewId="0">
      <selection activeCell="G25" sqref="G25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6" width="6.33203125" style="908" customWidth="1"/>
    <col min="7" max="7" width="7" style="908" customWidth="1"/>
    <col min="8" max="9" width="6.33203125" style="908" customWidth="1"/>
    <col min="10" max="10" width="7.77734375" style="908" bestFit="1" customWidth="1"/>
    <col min="11" max="11" width="6.33203125" style="908" customWidth="1"/>
    <col min="12" max="16384" width="8.88671875" style="908"/>
  </cols>
  <sheetData>
    <row r="1" spans="1:14" ht="26.1" customHeight="1">
      <c r="A1" s="1669" t="s">
        <v>1797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1798</v>
      </c>
    </row>
    <row r="3" spans="1:14" s="928" customFormat="1" ht="23.1" customHeight="1">
      <c r="A3" s="1675" t="s">
        <v>1799</v>
      </c>
      <c r="B3" s="1670" t="s">
        <v>1800</v>
      </c>
      <c r="C3" s="1670" t="s">
        <v>1801</v>
      </c>
      <c r="D3" s="1670" t="s">
        <v>1802</v>
      </c>
      <c r="E3" s="1672" t="s">
        <v>1803</v>
      </c>
      <c r="F3" s="1670" t="s">
        <v>1804</v>
      </c>
      <c r="G3" s="1670"/>
      <c r="H3" s="1670" t="s">
        <v>1805</v>
      </c>
      <c r="I3" s="1670"/>
      <c r="J3" s="1670" t="s">
        <v>1806</v>
      </c>
      <c r="K3" s="1674"/>
    </row>
    <row r="4" spans="1:14" s="931" customFormat="1" ht="23.1" customHeight="1">
      <c r="A4" s="1676"/>
      <c r="B4" s="1671"/>
      <c r="C4" s="1671"/>
      <c r="D4" s="1671"/>
      <c r="E4" s="1673"/>
      <c r="F4" s="929" t="s">
        <v>1807</v>
      </c>
      <c r="G4" s="929" t="s">
        <v>1808</v>
      </c>
      <c r="H4" s="929" t="s">
        <v>1807</v>
      </c>
      <c r="I4" s="929" t="s">
        <v>1808</v>
      </c>
      <c r="J4" s="929" t="s">
        <v>1807</v>
      </c>
      <c r="K4" s="930" t="s">
        <v>1808</v>
      </c>
    </row>
    <row r="5" spans="1:14" s="931" customFormat="1" ht="23.1" customHeight="1">
      <c r="A5" s="932" t="s">
        <v>1809</v>
      </c>
      <c r="B5" s="933" t="s">
        <v>1810</v>
      </c>
      <c r="C5" s="934">
        <f ca="1">'3.0수량표'!D28</f>
        <v>3.6</v>
      </c>
      <c r="D5" s="933" t="s">
        <v>1811</v>
      </c>
      <c r="E5" s="935">
        <f t="shared" ref="E5:E21" si="0">G5+I5+K5</f>
        <v>540</v>
      </c>
      <c r="F5" s="935">
        <f ca="1">'8.0자재단가'!$I$8</f>
        <v>150</v>
      </c>
      <c r="G5" s="935">
        <f>INT(C5*F5)</f>
        <v>540</v>
      </c>
      <c r="H5" s="935"/>
      <c r="I5" s="935"/>
      <c r="J5" s="935"/>
      <c r="K5" s="936"/>
    </row>
    <row r="6" spans="1:14" s="928" customFormat="1" ht="23.1" customHeight="1">
      <c r="A6" s="932" t="s">
        <v>1812</v>
      </c>
      <c r="B6" s="573" t="s">
        <v>1813</v>
      </c>
      <c r="C6" s="934">
        <f ca="1">'3.0수량표'!D29</f>
        <v>0.88</v>
      </c>
      <c r="D6" s="573" t="s">
        <v>1811</v>
      </c>
      <c r="E6" s="937">
        <f t="shared" si="0"/>
        <v>149</v>
      </c>
      <c r="F6" s="937">
        <f ca="1">'8.0자재단가'!$I$9</f>
        <v>170</v>
      </c>
      <c r="G6" s="937">
        <f>INT(C6*F6)</f>
        <v>149</v>
      </c>
      <c r="H6" s="937"/>
      <c r="I6" s="937"/>
      <c r="J6" s="937"/>
      <c r="K6" s="938"/>
    </row>
    <row r="7" spans="1:14" s="928" customFormat="1" ht="23.1" customHeight="1">
      <c r="A7" s="576" t="s">
        <v>1814</v>
      </c>
      <c r="B7" s="939" t="s">
        <v>1815</v>
      </c>
      <c r="C7" s="934">
        <f ca="1">'3.0수량표'!D30</f>
        <v>0.16</v>
      </c>
      <c r="D7" s="573" t="s">
        <v>1816</v>
      </c>
      <c r="E7" s="937">
        <f t="shared" si="0"/>
        <v>32</v>
      </c>
      <c r="F7" s="937">
        <f ca="1">'8.0자재단가'!$I$10</f>
        <v>200</v>
      </c>
      <c r="G7" s="937">
        <f>INT(C7*F7)</f>
        <v>32</v>
      </c>
      <c r="H7" s="937"/>
      <c r="I7" s="937"/>
      <c r="J7" s="937"/>
      <c r="K7" s="938"/>
      <c r="M7" s="940"/>
      <c r="N7" s="940"/>
    </row>
    <row r="8" spans="1:14" s="928" customFormat="1" ht="23.1" customHeight="1">
      <c r="A8" s="576" t="s">
        <v>1817</v>
      </c>
      <c r="B8" s="573" t="s">
        <v>1818</v>
      </c>
      <c r="C8" s="934">
        <f ca="1">'3.0수량표'!D31</f>
        <v>0.04</v>
      </c>
      <c r="D8" s="573" t="s">
        <v>1816</v>
      </c>
      <c r="E8" s="937">
        <f t="shared" si="0"/>
        <v>40</v>
      </c>
      <c r="F8" s="937">
        <f ca="1">'8.0자재단가'!$I$11</f>
        <v>1000</v>
      </c>
      <c r="G8" s="937">
        <f>INT(C8*F8)</f>
        <v>40</v>
      </c>
      <c r="H8" s="937"/>
      <c r="I8" s="937"/>
      <c r="J8" s="937"/>
      <c r="K8" s="938"/>
    </row>
    <row r="9" spans="1:14" s="928" customFormat="1" ht="23.1" customHeight="1">
      <c r="A9" s="576" t="s">
        <v>1819</v>
      </c>
      <c r="B9" s="573" t="s">
        <v>1820</v>
      </c>
      <c r="C9" s="934">
        <f ca="1">'3.0수량표'!D32</f>
        <v>30</v>
      </c>
      <c r="D9" s="573" t="s">
        <v>1821</v>
      </c>
      <c r="E9" s="937">
        <f t="shared" si="0"/>
        <v>2400</v>
      </c>
      <c r="F9" s="937">
        <f ca="1">'8.0자재단가'!$I$14</f>
        <v>80</v>
      </c>
      <c r="G9" s="937">
        <f>INT(C9*F9)</f>
        <v>2400</v>
      </c>
      <c r="H9" s="937"/>
      <c r="I9" s="937"/>
      <c r="J9" s="937"/>
      <c r="K9" s="938"/>
      <c r="M9" s="941"/>
    </row>
    <row r="10" spans="1:14" s="928" customFormat="1" ht="23.1" customHeight="1">
      <c r="A10" s="576" t="s">
        <v>1822</v>
      </c>
      <c r="B10" s="573" t="s">
        <v>1823</v>
      </c>
      <c r="C10" s="934">
        <f ca="1">'3.0수량표'!D33</f>
        <v>2</v>
      </c>
      <c r="D10" s="573" t="s">
        <v>1824</v>
      </c>
      <c r="E10" s="937">
        <f t="shared" si="0"/>
        <v>63</v>
      </c>
      <c r="F10" s="937">
        <f>SUM(G5:G9)</f>
        <v>3161</v>
      </c>
      <c r="G10" s="937">
        <f>INT(C10*F10/100)</f>
        <v>63</v>
      </c>
      <c r="H10" s="937"/>
      <c r="I10" s="937"/>
      <c r="J10" s="937"/>
      <c r="K10" s="938"/>
    </row>
    <row r="11" spans="1:14" s="928" customFormat="1" ht="23.1" customHeight="1">
      <c r="A11" s="942" t="s">
        <v>1825</v>
      </c>
      <c r="B11" s="573" t="s">
        <v>1826</v>
      </c>
      <c r="C11" s="934">
        <f ca="1">'3.0수량표'!D34</f>
        <v>0.01</v>
      </c>
      <c r="D11" s="573" t="s">
        <v>1827</v>
      </c>
      <c r="E11" s="937">
        <f t="shared" si="0"/>
        <v>249</v>
      </c>
      <c r="F11" s="937">
        <f ca="1">'9.0중기목록'!$F$6</f>
        <v>0</v>
      </c>
      <c r="G11" s="937">
        <f t="shared" ref="G11:G16" si="1">INT(C11*F11)</f>
        <v>0</v>
      </c>
      <c r="H11" s="937">
        <f ca="1">'9.0중기목록'!$E$6</f>
        <v>0</v>
      </c>
      <c r="I11" s="937">
        <f t="shared" ref="I11:I20" si="2">INT(C11*H11)</f>
        <v>0</v>
      </c>
      <c r="J11" s="937">
        <f ca="1">'9.0중기목록'!$G$6</f>
        <v>24973</v>
      </c>
      <c r="K11" s="938">
        <f t="shared" ref="K11:K16" si="3">INT(C11*J11)</f>
        <v>249</v>
      </c>
    </row>
    <row r="12" spans="1:14" s="928" customFormat="1" ht="23.1" customHeight="1">
      <c r="A12" s="942" t="s">
        <v>1828</v>
      </c>
      <c r="B12" s="573" t="s">
        <v>1829</v>
      </c>
      <c r="C12" s="934">
        <f ca="1">'3.0수량표'!D35</f>
        <v>0.01</v>
      </c>
      <c r="D12" s="573" t="s">
        <v>1827</v>
      </c>
      <c r="E12" s="937">
        <f t="shared" si="0"/>
        <v>546</v>
      </c>
      <c r="F12" s="937">
        <f ca="1">'9.0중기목록'!$F$8</f>
        <v>29577</v>
      </c>
      <c r="G12" s="937">
        <f t="shared" si="1"/>
        <v>295</v>
      </c>
      <c r="H12" s="937">
        <f ca="1">'9.0중기목록'!$E$8</f>
        <v>20561</v>
      </c>
      <c r="I12" s="937">
        <f t="shared" si="2"/>
        <v>205</v>
      </c>
      <c r="J12" s="937">
        <f ca="1">'9.0중기목록'!$G$8</f>
        <v>4656</v>
      </c>
      <c r="K12" s="938">
        <f t="shared" si="3"/>
        <v>46</v>
      </c>
    </row>
    <row r="13" spans="1:14" s="928" customFormat="1" ht="23.1" customHeight="1">
      <c r="A13" s="942" t="s">
        <v>1830</v>
      </c>
      <c r="B13" s="573" t="s">
        <v>1831</v>
      </c>
      <c r="C13" s="934">
        <f ca="1">'3.0수량표'!D36</f>
        <v>0.01</v>
      </c>
      <c r="D13" s="573" t="s">
        <v>1827</v>
      </c>
      <c r="E13" s="937">
        <f t="shared" si="0"/>
        <v>428</v>
      </c>
      <c r="F13" s="937">
        <f ca="1">'9.0중기목록'!$F$10</f>
        <v>23409</v>
      </c>
      <c r="G13" s="937">
        <f t="shared" si="1"/>
        <v>234</v>
      </c>
      <c r="H13" s="937">
        <f ca="1">'9.0중기목록'!$E$10</f>
        <v>14915</v>
      </c>
      <c r="I13" s="937">
        <f t="shared" si="2"/>
        <v>149</v>
      </c>
      <c r="J13" s="937">
        <f ca="1">'9.0중기목록'!$G$10</f>
        <v>4533</v>
      </c>
      <c r="K13" s="938">
        <f t="shared" si="3"/>
        <v>45</v>
      </c>
    </row>
    <row r="14" spans="1:14" s="928" customFormat="1" ht="23.1" customHeight="1">
      <c r="A14" s="943" t="s">
        <v>1832</v>
      </c>
      <c r="B14" s="573" t="s">
        <v>1833</v>
      </c>
      <c r="C14" s="934">
        <f ca="1">'3.0수량표'!D37</f>
        <v>1.0999999999999999E-2</v>
      </c>
      <c r="D14" s="573" t="s">
        <v>1827</v>
      </c>
      <c r="E14" s="937">
        <f t="shared" si="0"/>
        <v>380</v>
      </c>
      <c r="F14" s="937">
        <f ca="1">'9.0중기목록'!$F$12</f>
        <v>6640</v>
      </c>
      <c r="G14" s="937">
        <f t="shared" si="1"/>
        <v>73</v>
      </c>
      <c r="H14" s="937">
        <f ca="1">'9.0중기목록'!$E$12</f>
        <v>17696</v>
      </c>
      <c r="I14" s="937">
        <f t="shared" si="2"/>
        <v>194</v>
      </c>
      <c r="J14" s="937">
        <f ca="1">'9.0중기목록'!$G$12</f>
        <v>10362</v>
      </c>
      <c r="K14" s="938">
        <f t="shared" si="3"/>
        <v>113</v>
      </c>
    </row>
    <row r="15" spans="1:14" s="928" customFormat="1" ht="23.1" customHeight="1">
      <c r="A15" s="576" t="s">
        <v>1834</v>
      </c>
      <c r="B15" s="573" t="s">
        <v>1835</v>
      </c>
      <c r="C15" s="934">
        <f ca="1">'3.0수량표'!D38</f>
        <v>0.01</v>
      </c>
      <c r="D15" s="573" t="s">
        <v>1827</v>
      </c>
      <c r="E15" s="937">
        <f t="shared" si="0"/>
        <v>385</v>
      </c>
      <c r="F15" s="937">
        <f ca="1">'9.0중기목록'!$F$14</f>
        <v>13117</v>
      </c>
      <c r="G15" s="937">
        <f t="shared" si="1"/>
        <v>131</v>
      </c>
      <c r="H15" s="937">
        <f ca="1">'9.0중기목록'!$E$14</f>
        <v>17696</v>
      </c>
      <c r="I15" s="937">
        <f t="shared" si="2"/>
        <v>176</v>
      </c>
      <c r="J15" s="937">
        <f ca="1">'9.0중기목록'!$G$14</f>
        <v>7823</v>
      </c>
      <c r="K15" s="938">
        <f t="shared" si="3"/>
        <v>78</v>
      </c>
    </row>
    <row r="16" spans="1:14" s="928" customFormat="1" ht="23.1" customHeight="1">
      <c r="A16" s="942" t="s">
        <v>1836</v>
      </c>
      <c r="B16" s="573" t="s">
        <v>1837</v>
      </c>
      <c r="C16" s="934">
        <f ca="1">'3.0수량표'!D39</f>
        <v>0.01</v>
      </c>
      <c r="D16" s="573" t="s">
        <v>1827</v>
      </c>
      <c r="E16" s="937">
        <f t="shared" si="0"/>
        <v>356</v>
      </c>
      <c r="F16" s="937">
        <f ca="1">'9.0중기목록'!$F$16</f>
        <v>11978</v>
      </c>
      <c r="G16" s="937">
        <f t="shared" si="1"/>
        <v>119</v>
      </c>
      <c r="H16" s="937">
        <f ca="1">'9.0중기목록'!$E$16</f>
        <v>17696</v>
      </c>
      <c r="I16" s="937">
        <f t="shared" si="2"/>
        <v>176</v>
      </c>
      <c r="J16" s="937">
        <f ca="1">'9.0중기목록'!$G$16</f>
        <v>6117</v>
      </c>
      <c r="K16" s="938">
        <f t="shared" si="3"/>
        <v>61</v>
      </c>
    </row>
    <row r="17" spans="1:11" s="928" customFormat="1" ht="23.1" customHeight="1">
      <c r="A17" s="576" t="s">
        <v>1838</v>
      </c>
      <c r="B17" s="573"/>
      <c r="C17" s="934">
        <f ca="1">'3.0수량표'!D40</f>
        <v>1E-3</v>
      </c>
      <c r="D17" s="573" t="s">
        <v>1839</v>
      </c>
      <c r="E17" s="937">
        <f t="shared" si="0"/>
        <v>92</v>
      </c>
      <c r="F17" s="937"/>
      <c r="G17" s="937"/>
      <c r="H17" s="937">
        <f ca="1">'11.0시중노임'!$F$4</f>
        <v>92218</v>
      </c>
      <c r="I17" s="937">
        <f t="shared" si="2"/>
        <v>92</v>
      </c>
      <c r="J17" s="937"/>
      <c r="K17" s="938"/>
    </row>
    <row r="18" spans="1:11" s="928" customFormat="1" ht="23.1" customHeight="1">
      <c r="A18" s="576" t="s">
        <v>1840</v>
      </c>
      <c r="B18" s="573"/>
      <c r="C18" s="934">
        <f ca="1">'3.0수량표'!D41</f>
        <v>3.0000000000000001E-3</v>
      </c>
      <c r="D18" s="573" t="s">
        <v>1839</v>
      </c>
      <c r="E18" s="937">
        <f t="shared" si="0"/>
        <v>253</v>
      </c>
      <c r="F18" s="937"/>
      <c r="G18" s="937"/>
      <c r="H18" s="937">
        <f ca="1">'11.0시중노임'!$F$5</f>
        <v>84404</v>
      </c>
      <c r="I18" s="937">
        <f t="shared" si="2"/>
        <v>253</v>
      </c>
      <c r="J18" s="937"/>
      <c r="K18" s="938"/>
    </row>
    <row r="19" spans="1:11" s="928" customFormat="1" ht="23.1" customHeight="1">
      <c r="A19" s="576" t="s">
        <v>1841</v>
      </c>
      <c r="B19" s="573"/>
      <c r="C19" s="934">
        <f ca="1">'3.0수량표'!D42</f>
        <v>1E-3</v>
      </c>
      <c r="D19" s="573" t="s">
        <v>1839</v>
      </c>
      <c r="E19" s="937">
        <f t="shared" si="0"/>
        <v>86</v>
      </c>
      <c r="F19" s="937"/>
      <c r="G19" s="937"/>
      <c r="H19" s="937">
        <f ca="1">'11.0시중노임'!$F$12</f>
        <v>86521</v>
      </c>
      <c r="I19" s="937">
        <f t="shared" si="2"/>
        <v>86</v>
      </c>
      <c r="J19" s="937"/>
      <c r="K19" s="938"/>
    </row>
    <row r="20" spans="1:11" s="928" customFormat="1" ht="23.1" customHeight="1">
      <c r="A20" s="576" t="s">
        <v>1842</v>
      </c>
      <c r="B20" s="573"/>
      <c r="C20" s="934">
        <f ca="1">'3.0수량표'!D43</f>
        <v>0.01</v>
      </c>
      <c r="D20" s="573" t="s">
        <v>1839</v>
      </c>
      <c r="E20" s="937">
        <f t="shared" si="0"/>
        <v>689</v>
      </c>
      <c r="F20" s="937"/>
      <c r="G20" s="937"/>
      <c r="H20" s="937">
        <f ca="1">'11.0시중노임'!$F$6</f>
        <v>68965</v>
      </c>
      <c r="I20" s="937">
        <f t="shared" si="2"/>
        <v>689</v>
      </c>
      <c r="J20" s="937"/>
      <c r="K20" s="938"/>
    </row>
    <row r="21" spans="1:11" s="928" customFormat="1" ht="23.1" customHeight="1">
      <c r="A21" s="576" t="s">
        <v>1843</v>
      </c>
      <c r="B21" s="573" t="s">
        <v>1844</v>
      </c>
      <c r="C21" s="934">
        <f ca="1">'3.0수량표'!D44</f>
        <v>2</v>
      </c>
      <c r="D21" s="573" t="s">
        <v>1824</v>
      </c>
      <c r="E21" s="937">
        <f t="shared" si="0"/>
        <v>22</v>
      </c>
      <c r="F21" s="937"/>
      <c r="G21" s="937"/>
      <c r="H21" s="937"/>
      <c r="I21" s="937"/>
      <c r="J21" s="937">
        <f>SUM(I17:I20)</f>
        <v>1120</v>
      </c>
      <c r="K21" s="938">
        <f>INT(C21*J21/100)</f>
        <v>22</v>
      </c>
    </row>
    <row r="22" spans="1:11" s="928" customFormat="1" ht="23.1" customHeight="1">
      <c r="A22" s="576"/>
      <c r="B22" s="573"/>
      <c r="C22" s="944"/>
      <c r="D22" s="573"/>
      <c r="E22" s="937"/>
      <c r="F22" s="937"/>
      <c r="G22" s="937"/>
      <c r="H22" s="937"/>
      <c r="I22" s="937"/>
      <c r="J22" s="937"/>
      <c r="K22" s="938"/>
    </row>
    <row r="23" spans="1:11" s="928" customFormat="1" ht="23.1" customHeight="1">
      <c r="A23" s="576" t="s">
        <v>1845</v>
      </c>
      <c r="B23" s="573"/>
      <c r="C23" s="945"/>
      <c r="D23" s="573"/>
      <c r="E23" s="937">
        <f>G23+I23+K23</f>
        <v>6710</v>
      </c>
      <c r="F23" s="937"/>
      <c r="G23" s="937">
        <f>SUM(G5:G22)</f>
        <v>4076</v>
      </c>
      <c r="H23" s="937"/>
      <c r="I23" s="937">
        <f>SUM(I5:I22)</f>
        <v>2020</v>
      </c>
      <c r="J23" s="937"/>
      <c r="K23" s="938">
        <f>SUM(K5:K22)</f>
        <v>614</v>
      </c>
    </row>
    <row r="24" spans="1:11" s="928" customFormat="1" ht="23.1" customHeight="1">
      <c r="A24" s="576"/>
      <c r="B24" s="573"/>
      <c r="C24" s="945"/>
      <c r="D24" s="573"/>
      <c r="E24" s="937"/>
      <c r="F24" s="937"/>
      <c r="G24" s="937"/>
      <c r="H24" s="937"/>
      <c r="I24" s="937"/>
      <c r="J24" s="937"/>
      <c r="K24" s="938"/>
    </row>
    <row r="25" spans="1:11" s="928" customFormat="1" ht="23.1" customHeight="1">
      <c r="A25" s="576"/>
      <c r="B25" s="946"/>
      <c r="C25" s="945"/>
      <c r="D25" s="573"/>
      <c r="E25" s="937"/>
      <c r="F25" s="937"/>
      <c r="G25" s="937"/>
      <c r="H25" s="937"/>
      <c r="I25" s="937"/>
      <c r="J25" s="937"/>
      <c r="K25" s="938"/>
    </row>
    <row r="26" spans="1:11" s="928" customFormat="1" ht="23.1" customHeight="1">
      <c r="A26" s="576"/>
      <c r="B26" s="946"/>
      <c r="C26" s="945"/>
      <c r="D26" s="573"/>
      <c r="E26" s="937"/>
      <c r="F26" s="937"/>
      <c r="G26" s="937"/>
      <c r="H26" s="937"/>
      <c r="I26" s="937"/>
      <c r="J26" s="937"/>
      <c r="K26" s="938"/>
    </row>
    <row r="27" spans="1:11" s="928" customFormat="1" ht="23.1" customHeight="1">
      <c r="A27" s="576"/>
      <c r="B27" s="946"/>
      <c r="C27" s="945"/>
      <c r="D27" s="573"/>
      <c r="E27" s="937"/>
      <c r="F27" s="937"/>
      <c r="G27" s="937"/>
      <c r="H27" s="937"/>
      <c r="I27" s="937"/>
      <c r="J27" s="937"/>
      <c r="K27" s="938"/>
    </row>
    <row r="28" spans="1:11" s="928" customFormat="1" ht="23.1" customHeight="1">
      <c r="A28" s="947"/>
      <c r="B28" s="948" t="s">
        <v>1846</v>
      </c>
      <c r="C28" s="948"/>
      <c r="D28" s="949"/>
      <c r="E28" s="937"/>
      <c r="F28" s="948"/>
      <c r="G28" s="948"/>
      <c r="H28" s="948"/>
      <c r="I28" s="948"/>
      <c r="J28" s="948"/>
      <c r="K28" s="950"/>
    </row>
    <row r="29" spans="1:11" s="956" customFormat="1" ht="23.1" customHeight="1">
      <c r="A29" s="951" t="s">
        <v>1847</v>
      </c>
      <c r="B29" s="952"/>
      <c r="C29" s="952"/>
      <c r="D29" s="953"/>
      <c r="E29" s="954">
        <f>E23</f>
        <v>6710</v>
      </c>
      <c r="F29" s="954"/>
      <c r="G29" s="954">
        <f>G23</f>
        <v>4076</v>
      </c>
      <c r="H29" s="954"/>
      <c r="I29" s="954">
        <f>I23</f>
        <v>2020</v>
      </c>
      <c r="J29" s="954"/>
      <c r="K29" s="955">
        <f>K23</f>
        <v>614</v>
      </c>
    </row>
  </sheetData>
  <mergeCells count="9">
    <mergeCell ref="A1:K1"/>
    <mergeCell ref="C3:C4"/>
    <mergeCell ref="E3:E4"/>
    <mergeCell ref="J3:K3"/>
    <mergeCell ref="F3:G3"/>
    <mergeCell ref="A3:A4"/>
    <mergeCell ref="B3:B4"/>
    <mergeCell ref="D3:D4"/>
    <mergeCell ref="H3:I3"/>
  </mergeCells>
  <phoneticPr fontId="3" type="noConversion"/>
  <printOptions horizontalCentered="1"/>
  <pageMargins left="0.55118110236220474" right="0.6692913385826772" top="0.98425196850393704" bottom="0.98425196850393704" header="0.51181102362204722" footer="0.51181102362204722"/>
  <pageSetup paperSize="9" orientation="portrait" horizontalDpi="4294967295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N30"/>
  <sheetViews>
    <sheetView zoomScaleSheetLayoutView="90" workbookViewId="0">
      <selection sqref="A1:K1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6" width="6.33203125" style="908" customWidth="1"/>
    <col min="7" max="7" width="7" style="908" customWidth="1"/>
    <col min="8" max="9" width="6.33203125" style="908" customWidth="1"/>
    <col min="10" max="10" width="7.77734375" style="908" bestFit="1" customWidth="1"/>
    <col min="11" max="11" width="6.33203125" style="908" customWidth="1"/>
    <col min="12" max="16384" width="8.88671875" style="908"/>
  </cols>
  <sheetData>
    <row r="1" spans="1:14" ht="26.1" customHeight="1">
      <c r="A1" s="1669" t="s">
        <v>1848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43</v>
      </c>
    </row>
    <row r="3" spans="1:14" s="928" customFormat="1" ht="23.1" customHeight="1">
      <c r="A3" s="1675" t="s">
        <v>44</v>
      </c>
      <c r="B3" s="1670" t="s">
        <v>45</v>
      </c>
      <c r="C3" s="1670" t="s">
        <v>46</v>
      </c>
      <c r="D3" s="1670" t="s">
        <v>47</v>
      </c>
      <c r="E3" s="1672" t="s">
        <v>48</v>
      </c>
      <c r="F3" s="1670" t="s">
        <v>49</v>
      </c>
      <c r="G3" s="1670"/>
      <c r="H3" s="1670" t="s">
        <v>50</v>
      </c>
      <c r="I3" s="1670"/>
      <c r="J3" s="1670" t="s">
        <v>51</v>
      </c>
      <c r="K3" s="1674"/>
    </row>
    <row r="4" spans="1:14" s="931" customFormat="1" ht="23.1" customHeight="1">
      <c r="A4" s="1676"/>
      <c r="B4" s="1671"/>
      <c r="C4" s="1671"/>
      <c r="D4" s="1671"/>
      <c r="E4" s="1673"/>
      <c r="F4" s="929" t="s">
        <v>52</v>
      </c>
      <c r="G4" s="929" t="s">
        <v>53</v>
      </c>
      <c r="H4" s="929" t="s">
        <v>52</v>
      </c>
      <c r="I4" s="929" t="s">
        <v>53</v>
      </c>
      <c r="J4" s="929" t="s">
        <v>52</v>
      </c>
      <c r="K4" s="930" t="s">
        <v>53</v>
      </c>
    </row>
    <row r="5" spans="1:14" s="931" customFormat="1" ht="23.1" customHeight="1">
      <c r="A5" s="932" t="s">
        <v>62</v>
      </c>
      <c r="B5" s="933" t="s">
        <v>63</v>
      </c>
      <c r="C5" s="958">
        <f ca="1">'3.0수량표'!F28</f>
        <v>18</v>
      </c>
      <c r="D5" s="933" t="s">
        <v>64</v>
      </c>
      <c r="E5" s="935">
        <f t="shared" ref="E5:E21" si="0">G5+I5+K5</f>
        <v>2700</v>
      </c>
      <c r="F5" s="935">
        <f ca="1">'8.0자재단가'!$I$8</f>
        <v>150</v>
      </c>
      <c r="G5" s="935">
        <f>INT(C5*F5)</f>
        <v>2700</v>
      </c>
      <c r="H5" s="935"/>
      <c r="I5" s="935"/>
      <c r="J5" s="935"/>
      <c r="K5" s="936"/>
    </row>
    <row r="6" spans="1:14" s="928" customFormat="1" ht="23.1" customHeight="1">
      <c r="A6" s="932" t="s">
        <v>65</v>
      </c>
      <c r="B6" s="573" t="s">
        <v>66</v>
      </c>
      <c r="C6" s="958">
        <f ca="1">'3.0수량표'!F29</f>
        <v>4.4000000000000004</v>
      </c>
      <c r="D6" s="573" t="s">
        <v>64</v>
      </c>
      <c r="E6" s="937">
        <f t="shared" si="0"/>
        <v>748</v>
      </c>
      <c r="F6" s="937">
        <f ca="1">'8.0자재단가'!$I$9</f>
        <v>170</v>
      </c>
      <c r="G6" s="937">
        <f>INT(C6*F6)</f>
        <v>748</v>
      </c>
      <c r="H6" s="937"/>
      <c r="I6" s="937"/>
      <c r="J6" s="937"/>
      <c r="K6" s="938"/>
    </row>
    <row r="7" spans="1:14" s="928" customFormat="1" ht="23.1" customHeight="1">
      <c r="A7" s="576" t="s">
        <v>67</v>
      </c>
      <c r="B7" s="939" t="s">
        <v>68</v>
      </c>
      <c r="C7" s="958">
        <f ca="1">'3.0수량표'!F30</f>
        <v>0.8</v>
      </c>
      <c r="D7" s="573" t="s">
        <v>69</v>
      </c>
      <c r="E7" s="937">
        <f t="shared" si="0"/>
        <v>160</v>
      </c>
      <c r="F7" s="937">
        <f ca="1">'8.0자재단가'!$I$10</f>
        <v>200</v>
      </c>
      <c r="G7" s="937">
        <f>INT(C7*F7)</f>
        <v>160</v>
      </c>
      <c r="H7" s="937"/>
      <c r="I7" s="937"/>
      <c r="J7" s="937"/>
      <c r="K7" s="938"/>
      <c r="M7" s="940"/>
      <c r="N7" s="940"/>
    </row>
    <row r="8" spans="1:14" s="928" customFormat="1" ht="23.1" customHeight="1">
      <c r="A8" s="576" t="s">
        <v>70</v>
      </c>
      <c r="B8" s="573" t="s">
        <v>71</v>
      </c>
      <c r="C8" s="958">
        <f ca="1">'3.0수량표'!F31</f>
        <v>0.2</v>
      </c>
      <c r="D8" s="573" t="s">
        <v>69</v>
      </c>
      <c r="E8" s="937">
        <f t="shared" si="0"/>
        <v>200</v>
      </c>
      <c r="F8" s="937">
        <f ca="1">'8.0자재단가'!$I$11</f>
        <v>1000</v>
      </c>
      <c r="G8" s="937">
        <f>INT(C8*F8)</f>
        <v>200</v>
      </c>
      <c r="H8" s="937"/>
      <c r="I8" s="937"/>
      <c r="J8" s="937"/>
      <c r="K8" s="938"/>
    </row>
    <row r="9" spans="1:14" s="928" customFormat="1" ht="23.1" customHeight="1">
      <c r="A9" s="576" t="s">
        <v>72</v>
      </c>
      <c r="B9" s="573" t="s">
        <v>73</v>
      </c>
      <c r="C9" s="958">
        <f ca="1">'3.0수량표'!F32</f>
        <v>30</v>
      </c>
      <c r="D9" s="573" t="s">
        <v>74</v>
      </c>
      <c r="E9" s="937">
        <f t="shared" si="0"/>
        <v>2400</v>
      </c>
      <c r="F9" s="937">
        <f ca="1">'8.0자재단가'!$I$14</f>
        <v>80</v>
      </c>
      <c r="G9" s="937">
        <f>INT(C9*F9)</f>
        <v>2400</v>
      </c>
      <c r="H9" s="937"/>
      <c r="I9" s="937"/>
      <c r="J9" s="937"/>
      <c r="K9" s="938"/>
    </row>
    <row r="10" spans="1:14" s="928" customFormat="1" ht="23.1" customHeight="1">
      <c r="A10" s="576" t="s">
        <v>75</v>
      </c>
      <c r="B10" s="573" t="s">
        <v>76</v>
      </c>
      <c r="C10" s="958">
        <f ca="1">'3.0수량표'!F33</f>
        <v>2</v>
      </c>
      <c r="D10" s="573" t="s">
        <v>57</v>
      </c>
      <c r="E10" s="937">
        <f t="shared" si="0"/>
        <v>124</v>
      </c>
      <c r="F10" s="937">
        <f>SUM(G5:G9)</f>
        <v>6208</v>
      </c>
      <c r="G10" s="937">
        <f>INT(C10*F10/100)</f>
        <v>124</v>
      </c>
      <c r="H10" s="937"/>
      <c r="I10" s="937"/>
      <c r="J10" s="937"/>
      <c r="K10" s="938"/>
    </row>
    <row r="11" spans="1:14" s="928" customFormat="1" ht="23.1" customHeight="1">
      <c r="A11" s="942" t="s">
        <v>77</v>
      </c>
      <c r="B11" s="573" t="s">
        <v>78</v>
      </c>
      <c r="C11" s="959">
        <f ca="1">'3.0수량표'!F34</f>
        <v>1.4999999999999999E-2</v>
      </c>
      <c r="D11" s="573" t="s">
        <v>54</v>
      </c>
      <c r="E11" s="937">
        <f t="shared" si="0"/>
        <v>374</v>
      </c>
      <c r="F11" s="937">
        <f ca="1">'9.0중기목록'!$F$6</f>
        <v>0</v>
      </c>
      <c r="G11" s="937">
        <f t="shared" ref="G11:G16" si="1">INT(C11*F11)</f>
        <v>0</v>
      </c>
      <c r="H11" s="937">
        <f ca="1">'9.0중기목록'!$E$6</f>
        <v>0</v>
      </c>
      <c r="I11" s="937">
        <f t="shared" ref="I11:I20" si="2">INT(C11*H11)</f>
        <v>0</v>
      </c>
      <c r="J11" s="937">
        <f ca="1">'9.0중기목록'!$G$6</f>
        <v>24973</v>
      </c>
      <c r="K11" s="938">
        <f t="shared" ref="K11:K16" si="3">INT(C11*J11)</f>
        <v>374</v>
      </c>
    </row>
    <row r="12" spans="1:14" s="928" customFormat="1" ht="23.1" customHeight="1">
      <c r="A12" s="942" t="s">
        <v>79</v>
      </c>
      <c r="B12" s="573" t="s">
        <v>80</v>
      </c>
      <c r="C12" s="959">
        <f ca="1">'3.0수량표'!F35</f>
        <v>1.4999999999999999E-2</v>
      </c>
      <c r="D12" s="573" t="s">
        <v>54</v>
      </c>
      <c r="E12" s="937">
        <f t="shared" si="0"/>
        <v>820</v>
      </c>
      <c r="F12" s="937">
        <f ca="1">'9.0중기목록'!$F$8</f>
        <v>29577</v>
      </c>
      <c r="G12" s="937">
        <f t="shared" si="1"/>
        <v>443</v>
      </c>
      <c r="H12" s="937">
        <f ca="1">'9.0중기목록'!$E$8</f>
        <v>20561</v>
      </c>
      <c r="I12" s="937">
        <f t="shared" si="2"/>
        <v>308</v>
      </c>
      <c r="J12" s="937">
        <f ca="1">'9.0중기목록'!$G$8</f>
        <v>4656</v>
      </c>
      <c r="K12" s="938">
        <f t="shared" si="3"/>
        <v>69</v>
      </c>
    </row>
    <row r="13" spans="1:14" s="928" customFormat="1" ht="23.1" customHeight="1">
      <c r="A13" s="942" t="s">
        <v>81</v>
      </c>
      <c r="B13" s="573" t="s">
        <v>82</v>
      </c>
      <c r="C13" s="959">
        <f ca="1">'3.0수량표'!F36</f>
        <v>1.4999999999999999E-2</v>
      </c>
      <c r="D13" s="573" t="s">
        <v>54</v>
      </c>
      <c r="E13" s="937">
        <f t="shared" si="0"/>
        <v>641</v>
      </c>
      <c r="F13" s="937">
        <f ca="1">'9.0중기목록'!$F$10</f>
        <v>23409</v>
      </c>
      <c r="G13" s="937">
        <f t="shared" si="1"/>
        <v>351</v>
      </c>
      <c r="H13" s="937">
        <f ca="1">'9.0중기목록'!$E$10</f>
        <v>14915</v>
      </c>
      <c r="I13" s="937">
        <f t="shared" si="2"/>
        <v>223</v>
      </c>
      <c r="J13" s="937">
        <f ca="1">'9.0중기목록'!$G$10</f>
        <v>4533</v>
      </c>
      <c r="K13" s="938">
        <f t="shared" si="3"/>
        <v>67</v>
      </c>
    </row>
    <row r="14" spans="1:14" s="928" customFormat="1" ht="23.1" customHeight="1">
      <c r="A14" s="943" t="s">
        <v>83</v>
      </c>
      <c r="B14" s="573" t="s">
        <v>84</v>
      </c>
      <c r="C14" s="959">
        <f ca="1">'3.0수량표'!F37</f>
        <v>0.02</v>
      </c>
      <c r="D14" s="573" t="s">
        <v>54</v>
      </c>
      <c r="E14" s="937">
        <f t="shared" si="0"/>
        <v>692</v>
      </c>
      <c r="F14" s="937">
        <f ca="1">'9.0중기목록'!$F$12</f>
        <v>6640</v>
      </c>
      <c r="G14" s="937">
        <f t="shared" si="1"/>
        <v>132</v>
      </c>
      <c r="H14" s="937">
        <f ca="1">'9.0중기목록'!$E$12</f>
        <v>17696</v>
      </c>
      <c r="I14" s="937">
        <f t="shared" si="2"/>
        <v>353</v>
      </c>
      <c r="J14" s="937">
        <f ca="1">'9.0중기목록'!$G$12</f>
        <v>10362</v>
      </c>
      <c r="K14" s="938">
        <f t="shared" si="3"/>
        <v>207</v>
      </c>
    </row>
    <row r="15" spans="1:14" s="928" customFormat="1" ht="23.1" customHeight="1">
      <c r="A15" s="576" t="s">
        <v>85</v>
      </c>
      <c r="B15" s="573" t="s">
        <v>86</v>
      </c>
      <c r="C15" s="959">
        <f ca="1">'3.0수량표'!F38</f>
        <v>1.4999999999999999E-2</v>
      </c>
      <c r="D15" s="573" t="s">
        <v>54</v>
      </c>
      <c r="E15" s="937">
        <f t="shared" si="0"/>
        <v>578</v>
      </c>
      <c r="F15" s="937">
        <f ca="1">'9.0중기목록'!$F$14</f>
        <v>13117</v>
      </c>
      <c r="G15" s="937">
        <f t="shared" si="1"/>
        <v>196</v>
      </c>
      <c r="H15" s="937">
        <f ca="1">'9.0중기목록'!$E$14</f>
        <v>17696</v>
      </c>
      <c r="I15" s="937">
        <f t="shared" si="2"/>
        <v>265</v>
      </c>
      <c r="J15" s="937">
        <f ca="1">'9.0중기목록'!$G$14</f>
        <v>7823</v>
      </c>
      <c r="K15" s="938">
        <f t="shared" si="3"/>
        <v>117</v>
      </c>
    </row>
    <row r="16" spans="1:14" s="928" customFormat="1" ht="23.1" customHeight="1">
      <c r="A16" s="942" t="s">
        <v>87</v>
      </c>
      <c r="B16" s="573" t="s">
        <v>88</v>
      </c>
      <c r="C16" s="959">
        <f ca="1">'3.0수량표'!F39</f>
        <v>1.4999999999999999E-2</v>
      </c>
      <c r="D16" s="573" t="s">
        <v>54</v>
      </c>
      <c r="E16" s="937">
        <f t="shared" si="0"/>
        <v>535</v>
      </c>
      <c r="F16" s="937">
        <f ca="1">'9.0중기목록'!$F$16</f>
        <v>11978</v>
      </c>
      <c r="G16" s="937">
        <f t="shared" si="1"/>
        <v>179</v>
      </c>
      <c r="H16" s="937">
        <f ca="1">'9.0중기목록'!$E$16</f>
        <v>17696</v>
      </c>
      <c r="I16" s="937">
        <f t="shared" si="2"/>
        <v>265</v>
      </c>
      <c r="J16" s="937">
        <f ca="1">'9.0중기목록'!$G$16</f>
        <v>6117</v>
      </c>
      <c r="K16" s="938">
        <f t="shared" si="3"/>
        <v>91</v>
      </c>
    </row>
    <row r="17" spans="1:11" s="928" customFormat="1" ht="23.1" customHeight="1">
      <c r="A17" s="576" t="s">
        <v>61</v>
      </c>
      <c r="B17" s="573"/>
      <c r="C17" s="959">
        <f ca="1">'3.0수량표'!F40</f>
        <v>2E-3</v>
      </c>
      <c r="D17" s="573" t="s">
        <v>55</v>
      </c>
      <c r="E17" s="937">
        <f t="shared" si="0"/>
        <v>184</v>
      </c>
      <c r="F17" s="937"/>
      <c r="G17" s="937"/>
      <c r="H17" s="937">
        <f ca="1">'11.0시중노임'!$F$4</f>
        <v>92218</v>
      </c>
      <c r="I17" s="937">
        <f t="shared" si="2"/>
        <v>184</v>
      </c>
      <c r="J17" s="937"/>
      <c r="K17" s="938"/>
    </row>
    <row r="18" spans="1:11" s="928" customFormat="1" ht="23.1" customHeight="1">
      <c r="A18" s="576" t="s">
        <v>59</v>
      </c>
      <c r="B18" s="573"/>
      <c r="C18" s="959">
        <f ca="1">'3.0수량표'!F41</f>
        <v>1.0999999999999999E-2</v>
      </c>
      <c r="D18" s="573" t="s">
        <v>55</v>
      </c>
      <c r="E18" s="937">
        <f t="shared" si="0"/>
        <v>928</v>
      </c>
      <c r="F18" s="937"/>
      <c r="G18" s="937"/>
      <c r="H18" s="937">
        <f ca="1">'11.0시중노임'!$F$5</f>
        <v>84404</v>
      </c>
      <c r="I18" s="937">
        <f t="shared" si="2"/>
        <v>928</v>
      </c>
      <c r="J18" s="937"/>
      <c r="K18" s="938"/>
    </row>
    <row r="19" spans="1:11" s="928" customFormat="1" ht="23.1" customHeight="1">
      <c r="A19" s="576" t="s">
        <v>89</v>
      </c>
      <c r="B19" s="573"/>
      <c r="C19" s="959">
        <f ca="1">'3.0수량표'!F42</f>
        <v>2E-3</v>
      </c>
      <c r="D19" s="573" t="s">
        <v>55</v>
      </c>
      <c r="E19" s="937">
        <f t="shared" si="0"/>
        <v>173</v>
      </c>
      <c r="F19" s="937"/>
      <c r="G19" s="937"/>
      <c r="H19" s="937">
        <f ca="1">'11.0시중노임'!$F$12</f>
        <v>86521</v>
      </c>
      <c r="I19" s="937">
        <f t="shared" si="2"/>
        <v>173</v>
      </c>
      <c r="J19" s="937"/>
      <c r="K19" s="938"/>
    </row>
    <row r="20" spans="1:11" s="928" customFormat="1" ht="23.1" customHeight="1">
      <c r="A20" s="576" t="s">
        <v>60</v>
      </c>
      <c r="B20" s="573"/>
      <c r="C20" s="959">
        <f ca="1">'3.0수량표'!F43</f>
        <v>2.1999999999999999E-2</v>
      </c>
      <c r="D20" s="573" t="s">
        <v>55</v>
      </c>
      <c r="E20" s="937">
        <f t="shared" si="0"/>
        <v>1517</v>
      </c>
      <c r="F20" s="937"/>
      <c r="G20" s="937"/>
      <c r="H20" s="937">
        <f ca="1">'11.0시중노임'!$F$6</f>
        <v>68965</v>
      </c>
      <c r="I20" s="937">
        <f t="shared" si="2"/>
        <v>1517</v>
      </c>
      <c r="J20" s="937"/>
      <c r="K20" s="938"/>
    </row>
    <row r="21" spans="1:11" s="928" customFormat="1" ht="23.1" customHeight="1">
      <c r="A21" s="576" t="s">
        <v>90</v>
      </c>
      <c r="B21" s="573" t="s">
        <v>56</v>
      </c>
      <c r="C21" s="958">
        <f ca="1">'3.0수량표'!D44</f>
        <v>2</v>
      </c>
      <c r="D21" s="573" t="s">
        <v>57</v>
      </c>
      <c r="E21" s="937">
        <f t="shared" si="0"/>
        <v>56</v>
      </c>
      <c r="F21" s="937"/>
      <c r="G21" s="937"/>
      <c r="H21" s="937"/>
      <c r="I21" s="937"/>
      <c r="J21" s="937">
        <f>SUM(I17:I20)</f>
        <v>2802</v>
      </c>
      <c r="K21" s="938">
        <f>INT(C21*J21/100)</f>
        <v>56</v>
      </c>
    </row>
    <row r="22" spans="1:11" s="928" customFormat="1" ht="23.1" customHeight="1">
      <c r="A22" s="576"/>
      <c r="B22" s="573"/>
      <c r="C22" s="944"/>
      <c r="D22" s="573"/>
      <c r="E22" s="937"/>
      <c r="F22" s="937"/>
      <c r="G22" s="937"/>
      <c r="H22" s="937"/>
      <c r="I22" s="937"/>
      <c r="J22" s="937"/>
      <c r="K22" s="938"/>
    </row>
    <row r="23" spans="1:11" s="928" customFormat="1" ht="23.1" customHeight="1">
      <c r="A23" s="576" t="s">
        <v>58</v>
      </c>
      <c r="B23" s="573"/>
      <c r="C23" s="945"/>
      <c r="D23" s="573"/>
      <c r="E23" s="937">
        <f>G23+I23+K23</f>
        <v>12830</v>
      </c>
      <c r="F23" s="937"/>
      <c r="G23" s="937">
        <f>SUM(G5:G22)</f>
        <v>7633</v>
      </c>
      <c r="H23" s="937"/>
      <c r="I23" s="937">
        <f>SUM(I5:I22)</f>
        <v>4216</v>
      </c>
      <c r="J23" s="937"/>
      <c r="K23" s="938">
        <f>SUM(K5:K22)</f>
        <v>981</v>
      </c>
    </row>
    <row r="24" spans="1:11" s="928" customFormat="1" ht="23.1" customHeight="1">
      <c r="A24" s="576"/>
      <c r="B24" s="573"/>
      <c r="C24" s="945"/>
      <c r="D24" s="573"/>
      <c r="E24" s="937"/>
      <c r="F24" s="937"/>
      <c r="G24" s="937"/>
      <c r="H24" s="937"/>
      <c r="I24" s="937"/>
      <c r="J24" s="937"/>
      <c r="K24" s="938"/>
    </row>
    <row r="25" spans="1:11" s="928" customFormat="1" ht="23.1" customHeight="1">
      <c r="A25" s="576"/>
      <c r="B25" s="946"/>
      <c r="C25" s="945"/>
      <c r="D25" s="573"/>
      <c r="E25" s="937"/>
      <c r="F25" s="937"/>
      <c r="G25" s="937"/>
      <c r="H25" s="937"/>
      <c r="I25" s="937"/>
      <c r="J25" s="937"/>
      <c r="K25" s="938"/>
    </row>
    <row r="26" spans="1:11" s="928" customFormat="1" ht="23.1" customHeight="1">
      <c r="A26" s="576"/>
      <c r="B26" s="946"/>
      <c r="C26" s="945"/>
      <c r="D26" s="573"/>
      <c r="E26" s="937"/>
      <c r="F26" s="937"/>
      <c r="G26" s="937"/>
      <c r="H26" s="937"/>
      <c r="I26" s="937"/>
      <c r="J26" s="937"/>
      <c r="K26" s="938"/>
    </row>
    <row r="27" spans="1:11" s="928" customFormat="1" ht="23.1" customHeight="1">
      <c r="A27" s="576"/>
      <c r="B27" s="946"/>
      <c r="C27" s="945"/>
      <c r="D27" s="573"/>
      <c r="E27" s="937"/>
      <c r="F27" s="937"/>
      <c r="G27" s="937"/>
      <c r="H27" s="937"/>
      <c r="I27" s="937"/>
      <c r="J27" s="937"/>
      <c r="K27" s="938"/>
    </row>
    <row r="28" spans="1:11" s="928" customFormat="1" ht="23.1" customHeight="1">
      <c r="A28" s="576"/>
      <c r="B28" s="946"/>
      <c r="C28" s="945"/>
      <c r="D28" s="573"/>
      <c r="E28" s="937"/>
      <c r="F28" s="937"/>
      <c r="G28" s="937"/>
      <c r="H28" s="937"/>
      <c r="I28" s="937"/>
      <c r="J28" s="937"/>
      <c r="K28" s="938"/>
    </row>
    <row r="29" spans="1:11" s="928" customFormat="1" ht="23.1" customHeight="1">
      <c r="A29" s="947"/>
      <c r="B29" s="948" t="s">
        <v>91</v>
      </c>
      <c r="C29" s="948"/>
      <c r="D29" s="949"/>
      <c r="E29" s="937"/>
      <c r="F29" s="948"/>
      <c r="G29" s="948"/>
      <c r="H29" s="948"/>
      <c r="I29" s="948"/>
      <c r="J29" s="948"/>
      <c r="K29" s="950"/>
    </row>
    <row r="30" spans="1:11" s="956" customFormat="1" ht="23.1" customHeight="1">
      <c r="A30" s="951" t="s">
        <v>92</v>
      </c>
      <c r="B30" s="952"/>
      <c r="C30" s="952"/>
      <c r="D30" s="953"/>
      <c r="E30" s="954">
        <f>E23</f>
        <v>12830</v>
      </c>
      <c r="F30" s="954"/>
      <c r="G30" s="954">
        <f>G23</f>
        <v>7633</v>
      </c>
      <c r="H30" s="954"/>
      <c r="I30" s="954">
        <f>I23</f>
        <v>4216</v>
      </c>
      <c r="J30" s="954"/>
      <c r="K30" s="955">
        <f>K23</f>
        <v>981</v>
      </c>
    </row>
  </sheetData>
  <mergeCells count="9">
    <mergeCell ref="J3:K3"/>
    <mergeCell ref="A1:K1"/>
    <mergeCell ref="A3:A4"/>
    <mergeCell ref="B3:B4"/>
    <mergeCell ref="C3:C4"/>
    <mergeCell ref="F3:G3"/>
    <mergeCell ref="H3:I3"/>
    <mergeCell ref="D3:D4"/>
    <mergeCell ref="E3:E4"/>
  </mergeCells>
  <phoneticPr fontId="3" type="noConversion"/>
  <printOptions horizontalCentered="1"/>
  <pageMargins left="0.55118110236220474" right="0.6692913385826772" top="0.98425196850393704" bottom="0.98425196850393704" header="0.51181102362204722" footer="0.51181102362204722"/>
  <pageSetup paperSize="9" orientation="portrait" horizontalDpi="4294967295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35"/>
  <sheetViews>
    <sheetView topLeftCell="A7" zoomScaleSheetLayoutView="90" workbookViewId="0">
      <selection sqref="A1:IV65536"/>
    </sheetView>
  </sheetViews>
  <sheetFormatPr defaultRowHeight="13.5"/>
  <cols>
    <col min="1" max="1" width="10.77734375" style="997" customWidth="1"/>
    <col min="2" max="2" width="9.77734375" style="997" customWidth="1"/>
    <col min="3" max="3" width="4.77734375" style="997" customWidth="1"/>
    <col min="4" max="4" width="4.33203125" style="1047" customWidth="1"/>
    <col min="5" max="5" width="7.33203125" style="1047" customWidth="1"/>
    <col min="6" max="11" width="6.33203125" style="997" customWidth="1"/>
    <col min="12" max="16384" width="8.88671875" style="997"/>
  </cols>
  <sheetData>
    <row r="1" spans="1:14" ht="26.1" customHeight="1">
      <c r="A1" s="1669" t="s">
        <v>1385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1001" customFormat="1" ht="13.5" customHeight="1">
      <c r="A2" s="998"/>
      <c r="B2" s="998"/>
      <c r="C2" s="998"/>
      <c r="D2" s="999"/>
      <c r="E2" s="999"/>
      <c r="F2" s="998"/>
      <c r="G2" s="998"/>
      <c r="H2" s="998"/>
      <c r="I2" s="998"/>
      <c r="J2" s="998"/>
      <c r="K2" s="1000" t="s">
        <v>977</v>
      </c>
    </row>
    <row r="3" spans="1:14" s="1001" customFormat="1" ht="20.100000000000001" customHeight="1">
      <c r="A3" s="1677" t="s">
        <v>285</v>
      </c>
      <c r="B3" s="1679" t="s">
        <v>286</v>
      </c>
      <c r="C3" s="1679" t="s">
        <v>1115</v>
      </c>
      <c r="D3" s="1679" t="s">
        <v>288</v>
      </c>
      <c r="E3" s="1681" t="s">
        <v>828</v>
      </c>
      <c r="F3" s="1679" t="s">
        <v>289</v>
      </c>
      <c r="G3" s="1679"/>
      <c r="H3" s="1679" t="s">
        <v>826</v>
      </c>
      <c r="I3" s="1679"/>
      <c r="J3" s="1679" t="s">
        <v>827</v>
      </c>
      <c r="K3" s="1683"/>
    </row>
    <row r="4" spans="1:14" s="1004" customFormat="1" ht="20.100000000000001" customHeight="1">
      <c r="A4" s="1678"/>
      <c r="B4" s="1680"/>
      <c r="C4" s="1680"/>
      <c r="D4" s="1680"/>
      <c r="E4" s="1682"/>
      <c r="F4" s="1002" t="s">
        <v>1405</v>
      </c>
      <c r="G4" s="1002" t="s">
        <v>830</v>
      </c>
      <c r="H4" s="1002" t="s">
        <v>1405</v>
      </c>
      <c r="I4" s="1002" t="s">
        <v>830</v>
      </c>
      <c r="J4" s="1002" t="s">
        <v>1405</v>
      </c>
      <c r="K4" s="1003" t="s">
        <v>830</v>
      </c>
    </row>
    <row r="5" spans="1:14" s="1008" customFormat="1" ht="20.100000000000001" customHeight="1">
      <c r="A5" s="1005" t="s">
        <v>881</v>
      </c>
      <c r="B5" s="1006"/>
      <c r="C5" s="1006"/>
      <c r="D5" s="1006"/>
      <c r="E5" s="1006"/>
      <c r="F5" s="1006"/>
      <c r="G5" s="1006"/>
      <c r="H5" s="1006"/>
      <c r="I5" s="1006"/>
      <c r="J5" s="1006"/>
      <c r="K5" s="1007"/>
    </row>
    <row r="6" spans="1:14" s="1014" customFormat="1" ht="20.100000000000001" customHeight="1">
      <c r="A6" s="1009" t="s">
        <v>882</v>
      </c>
      <c r="B6" s="1010" t="s">
        <v>2029</v>
      </c>
      <c r="C6" s="1011">
        <f ca="1">'3.0수량표'!D16</f>
        <v>1.2</v>
      </c>
      <c r="D6" s="1010" t="s">
        <v>869</v>
      </c>
      <c r="E6" s="1012">
        <f>G6+I6+K6</f>
        <v>1800</v>
      </c>
      <c r="F6" s="1010">
        <f ca="1">'8.0자재단가'!$I$18</f>
        <v>1500</v>
      </c>
      <c r="G6" s="1012">
        <f>INT(C6*F6)</f>
        <v>1800</v>
      </c>
      <c r="H6" s="1010"/>
      <c r="I6" s="1010"/>
      <c r="J6" s="1010"/>
      <c r="K6" s="1013"/>
    </row>
    <row r="7" spans="1:14" s="1014" customFormat="1" ht="20.100000000000001" customHeight="1">
      <c r="A7" s="1009" t="s">
        <v>887</v>
      </c>
      <c r="B7" s="1010" t="s">
        <v>1380</v>
      </c>
      <c r="C7" s="1011">
        <f ca="1">'3.0수량표'!D17</f>
        <v>0.5</v>
      </c>
      <c r="D7" s="1010" t="s">
        <v>869</v>
      </c>
      <c r="E7" s="1012">
        <f>G7+I7+K7</f>
        <v>250</v>
      </c>
      <c r="F7" s="1010">
        <f ca="1">'8.0자재단가'!$I$16</f>
        <v>500</v>
      </c>
      <c r="G7" s="1012">
        <f>INT(C7*F7)</f>
        <v>250</v>
      </c>
      <c r="H7" s="1010"/>
      <c r="I7" s="1010"/>
      <c r="J7" s="1010"/>
      <c r="K7" s="1013"/>
    </row>
    <row r="8" spans="1:14" s="1014" customFormat="1" ht="20.100000000000001" customHeight="1">
      <c r="A8" s="1009" t="s">
        <v>837</v>
      </c>
      <c r="B8" s="1010"/>
      <c r="C8" s="1015">
        <f ca="1">'3.0수량표'!D18</f>
        <v>1E-3</v>
      </c>
      <c r="D8" s="1010" t="s">
        <v>1221</v>
      </c>
      <c r="E8" s="1012">
        <f>G8+I8+K8</f>
        <v>92</v>
      </c>
      <c r="F8" s="1012"/>
      <c r="G8" s="1012"/>
      <c r="H8" s="1012">
        <f ca="1">'11.0시중노임'!$F$4</f>
        <v>92218</v>
      </c>
      <c r="I8" s="1012">
        <f>INT(C8*H8)</f>
        <v>92</v>
      </c>
      <c r="J8" s="1012"/>
      <c r="K8" s="1016"/>
    </row>
    <row r="9" spans="1:14" s="1014" customFormat="1" ht="20.100000000000001" customHeight="1">
      <c r="A9" s="1009" t="s">
        <v>1422</v>
      </c>
      <c r="B9" s="1010"/>
      <c r="C9" s="1015">
        <f ca="1">'3.0수량표'!D19</f>
        <v>0.01</v>
      </c>
      <c r="D9" s="1010" t="s">
        <v>1221</v>
      </c>
      <c r="E9" s="1012">
        <f>G9+I9+K9</f>
        <v>844</v>
      </c>
      <c r="F9" s="1012"/>
      <c r="G9" s="1012"/>
      <c r="H9" s="1012">
        <f ca="1">'11.0시중노임'!$F$5</f>
        <v>84404</v>
      </c>
      <c r="I9" s="1012">
        <f>INT(C9*H9)</f>
        <v>844</v>
      </c>
      <c r="J9" s="1010"/>
      <c r="K9" s="1013"/>
    </row>
    <row r="10" spans="1:14" s="1014" customFormat="1" ht="20.100000000000001" customHeight="1">
      <c r="A10" s="1009" t="s">
        <v>839</v>
      </c>
      <c r="B10" s="1010"/>
      <c r="C10" s="1015">
        <f ca="1">'3.0수량표'!D20</f>
        <v>0.02</v>
      </c>
      <c r="D10" s="1010" t="s">
        <v>1221</v>
      </c>
      <c r="E10" s="1012">
        <f>G10+I10+K10</f>
        <v>1379</v>
      </c>
      <c r="F10" s="1012"/>
      <c r="G10" s="1012"/>
      <c r="H10" s="1012">
        <f ca="1">'11.0시중노임'!$F$6</f>
        <v>68965</v>
      </c>
      <c r="I10" s="1012">
        <f>INT(C10*H10)</f>
        <v>1379</v>
      </c>
      <c r="J10" s="1010"/>
      <c r="K10" s="1013"/>
    </row>
    <row r="11" spans="1:14" s="1021" customFormat="1" ht="20.100000000000001" customHeight="1">
      <c r="A11" s="1017" t="s">
        <v>849</v>
      </c>
      <c r="B11" s="1018"/>
      <c r="C11" s="1018"/>
      <c r="D11" s="1018"/>
      <c r="E11" s="1019">
        <f>SUM(E6:E10)</f>
        <v>4365</v>
      </c>
      <c r="F11" s="1018"/>
      <c r="G11" s="1019">
        <f>SUM(G6:G10)</f>
        <v>2050</v>
      </c>
      <c r="H11" s="1018"/>
      <c r="I11" s="1019">
        <f>SUM(I6:I10)</f>
        <v>2315</v>
      </c>
      <c r="J11" s="1018"/>
      <c r="K11" s="1020"/>
    </row>
    <row r="12" spans="1:14" s="1014" customFormat="1" ht="20.100000000000001" customHeight="1">
      <c r="A12" s="1009"/>
      <c r="B12" s="1010"/>
      <c r="C12" s="1010"/>
      <c r="D12" s="1010"/>
      <c r="E12" s="1010"/>
      <c r="F12" s="1010"/>
      <c r="G12" s="1010"/>
      <c r="H12" s="1010"/>
      <c r="I12" s="1010"/>
      <c r="J12" s="1010"/>
      <c r="K12" s="1013"/>
    </row>
    <row r="13" spans="1:14" s="1008" customFormat="1" ht="20.100000000000001" customHeight="1">
      <c r="A13" s="1022" t="s">
        <v>2030</v>
      </c>
      <c r="B13" s="1010"/>
      <c r="C13" s="1010"/>
      <c r="D13" s="1010"/>
      <c r="E13" s="1010"/>
      <c r="F13" s="1010"/>
      <c r="G13" s="1010"/>
      <c r="H13" s="1010"/>
      <c r="I13" s="1010"/>
      <c r="J13" s="1010"/>
      <c r="K13" s="1013"/>
    </row>
    <row r="14" spans="1:14" s="1004" customFormat="1" ht="20.100000000000001" customHeight="1">
      <c r="A14" s="1023" t="s">
        <v>850</v>
      </c>
      <c r="B14" s="1024" t="s">
        <v>851</v>
      </c>
      <c r="C14" s="1025">
        <f ca="1">'3.0수량표'!G28</f>
        <v>27</v>
      </c>
      <c r="D14" s="1024" t="s">
        <v>831</v>
      </c>
      <c r="E14" s="1012">
        <f t="shared" ref="E14:E30" si="0">G14+I14+K14</f>
        <v>4050</v>
      </c>
      <c r="F14" s="1012">
        <f ca="1">'8.0자재단가'!$I$8</f>
        <v>150</v>
      </c>
      <c r="G14" s="1012">
        <f>INT(C14*F14)</f>
        <v>4050</v>
      </c>
      <c r="H14" s="1012"/>
      <c r="I14" s="1012"/>
      <c r="J14" s="1012"/>
      <c r="K14" s="1016"/>
    </row>
    <row r="15" spans="1:14" s="1001" customFormat="1" ht="20.100000000000001" customHeight="1">
      <c r="A15" s="1026" t="s">
        <v>33</v>
      </c>
      <c r="B15" s="1024" t="s">
        <v>832</v>
      </c>
      <c r="C15" s="1025">
        <f ca="1">'3.0수량표'!G29</f>
        <v>6.6</v>
      </c>
      <c r="D15" s="1024" t="s">
        <v>831</v>
      </c>
      <c r="E15" s="1012">
        <f t="shared" si="0"/>
        <v>1122</v>
      </c>
      <c r="F15" s="1012">
        <f ca="1">'8.0자재단가'!$I$9</f>
        <v>170</v>
      </c>
      <c r="G15" s="1012">
        <f>INT(C15*F15)</f>
        <v>1122</v>
      </c>
      <c r="H15" s="1012"/>
      <c r="I15" s="1012"/>
      <c r="J15" s="1012"/>
      <c r="K15" s="1016"/>
    </row>
    <row r="16" spans="1:14" s="1001" customFormat="1" ht="20.100000000000001" customHeight="1">
      <c r="A16" s="1023" t="s">
        <v>853</v>
      </c>
      <c r="B16" s="1027" t="s">
        <v>34</v>
      </c>
      <c r="C16" s="1025">
        <f ca="1">'3.0수량표'!G30</f>
        <v>1.2</v>
      </c>
      <c r="D16" s="1024" t="s">
        <v>859</v>
      </c>
      <c r="E16" s="1012">
        <f t="shared" si="0"/>
        <v>240</v>
      </c>
      <c r="F16" s="1012">
        <f ca="1">'8.0자재단가'!$I$10</f>
        <v>200</v>
      </c>
      <c r="G16" s="1012">
        <f>INT(C16*F16)</f>
        <v>240</v>
      </c>
      <c r="H16" s="1012"/>
      <c r="I16" s="1012"/>
      <c r="J16" s="1012"/>
      <c r="K16" s="1016"/>
      <c r="M16" s="1028"/>
      <c r="N16" s="1028"/>
    </row>
    <row r="17" spans="1:13" s="1001" customFormat="1" ht="20.100000000000001" customHeight="1">
      <c r="A17" s="1023" t="s">
        <v>854</v>
      </c>
      <c r="B17" s="1024" t="s">
        <v>35</v>
      </c>
      <c r="C17" s="1025">
        <f ca="1">'3.0수량표'!G31</f>
        <v>0.3</v>
      </c>
      <c r="D17" s="1024" t="s">
        <v>859</v>
      </c>
      <c r="E17" s="1012">
        <f t="shared" si="0"/>
        <v>300</v>
      </c>
      <c r="F17" s="1012">
        <f ca="1">'8.0자재단가'!$I$11</f>
        <v>1000</v>
      </c>
      <c r="G17" s="1012">
        <f>INT(C17*F17)</f>
        <v>300</v>
      </c>
      <c r="H17" s="1012"/>
      <c r="I17" s="1012"/>
      <c r="J17" s="1012"/>
      <c r="K17" s="1016"/>
    </row>
    <row r="18" spans="1:13" s="1001" customFormat="1" ht="20.100000000000001" customHeight="1">
      <c r="A18" s="1023" t="s">
        <v>856</v>
      </c>
      <c r="B18" s="1024" t="s">
        <v>36</v>
      </c>
      <c r="C18" s="1025">
        <f ca="1">'3.0수량표'!G32</f>
        <v>30</v>
      </c>
      <c r="D18" s="1024" t="s">
        <v>842</v>
      </c>
      <c r="E18" s="1012">
        <f t="shared" si="0"/>
        <v>2400</v>
      </c>
      <c r="F18" s="1012">
        <f ca="1">'8.0자재단가'!$I$14</f>
        <v>80</v>
      </c>
      <c r="G18" s="1012">
        <f>INT(C18*F18)</f>
        <v>2400</v>
      </c>
      <c r="H18" s="1012"/>
      <c r="I18" s="1012"/>
      <c r="J18" s="1012"/>
      <c r="K18" s="1016"/>
    </row>
    <row r="19" spans="1:13" s="1001" customFormat="1" ht="20.100000000000001" customHeight="1">
      <c r="A19" s="1023" t="s">
        <v>666</v>
      </c>
      <c r="B19" s="1024" t="s">
        <v>37</v>
      </c>
      <c r="C19" s="1025">
        <f ca="1">'3.0수량표'!G33</f>
        <v>2</v>
      </c>
      <c r="D19" s="1024" t="s">
        <v>861</v>
      </c>
      <c r="E19" s="1012">
        <f t="shared" si="0"/>
        <v>162</v>
      </c>
      <c r="F19" s="1012">
        <f>SUM(G14:G18)</f>
        <v>8112</v>
      </c>
      <c r="G19" s="1012">
        <f>INT(C19*F19/100)</f>
        <v>162</v>
      </c>
      <c r="H19" s="1012"/>
      <c r="I19" s="1012"/>
      <c r="J19" s="1012"/>
      <c r="K19" s="1016"/>
      <c r="M19" s="1029"/>
    </row>
    <row r="20" spans="1:13" s="1001" customFormat="1" ht="20.100000000000001" customHeight="1">
      <c r="A20" s="1030" t="s">
        <v>865</v>
      </c>
      <c r="B20" s="1024" t="s">
        <v>876</v>
      </c>
      <c r="C20" s="1031">
        <f ca="1">'3.0수량표'!G34</f>
        <v>0.02</v>
      </c>
      <c r="D20" s="1024" t="s">
        <v>843</v>
      </c>
      <c r="E20" s="1012">
        <f t="shared" si="0"/>
        <v>499</v>
      </c>
      <c r="F20" s="1012">
        <f ca="1">'9.0중기목록'!$F$6</f>
        <v>0</v>
      </c>
      <c r="G20" s="1012">
        <f t="shared" ref="G20:G25" si="1">INT(C20*F20)</f>
        <v>0</v>
      </c>
      <c r="H20" s="1012">
        <f ca="1">'9.0중기목록'!$E$6</f>
        <v>0</v>
      </c>
      <c r="I20" s="1012">
        <f t="shared" ref="I20:I29" si="2">INT(C20*H20)</f>
        <v>0</v>
      </c>
      <c r="J20" s="1012">
        <f ca="1">'9.0중기목록'!$G$6</f>
        <v>24973</v>
      </c>
      <c r="K20" s="1016">
        <f t="shared" ref="K20:K25" si="3">INT(C20*J20)</f>
        <v>499</v>
      </c>
    </row>
    <row r="21" spans="1:13" s="1001" customFormat="1" ht="20.100000000000001" customHeight="1">
      <c r="A21" s="1030" t="s">
        <v>835</v>
      </c>
      <c r="B21" s="1024" t="s">
        <v>844</v>
      </c>
      <c r="C21" s="1031">
        <f ca="1">'3.0수량표'!G35</f>
        <v>0.02</v>
      </c>
      <c r="D21" s="1024" t="s">
        <v>843</v>
      </c>
      <c r="E21" s="1012">
        <f t="shared" si="0"/>
        <v>1095</v>
      </c>
      <c r="F21" s="1012">
        <f ca="1">'9.0중기목록'!$F$8</f>
        <v>29577</v>
      </c>
      <c r="G21" s="1012">
        <f t="shared" si="1"/>
        <v>591</v>
      </c>
      <c r="H21" s="1012">
        <f ca="1">'9.0중기목록'!$E$8</f>
        <v>20561</v>
      </c>
      <c r="I21" s="1012">
        <f t="shared" si="2"/>
        <v>411</v>
      </c>
      <c r="J21" s="1012">
        <f ca="1">'9.0중기목록'!$G$8</f>
        <v>4656</v>
      </c>
      <c r="K21" s="1016">
        <f t="shared" si="3"/>
        <v>93</v>
      </c>
    </row>
    <row r="22" spans="1:13" s="1001" customFormat="1" ht="20.100000000000001" customHeight="1">
      <c r="A22" s="1030" t="s">
        <v>38</v>
      </c>
      <c r="B22" s="1024" t="s">
        <v>39</v>
      </c>
      <c r="C22" s="1031">
        <f ca="1">'3.0수량표'!G36</f>
        <v>0.02</v>
      </c>
      <c r="D22" s="1024" t="s">
        <v>843</v>
      </c>
      <c r="E22" s="1012">
        <f t="shared" si="0"/>
        <v>856</v>
      </c>
      <c r="F22" s="1012">
        <f ca="1">'9.0중기목록'!$F$10</f>
        <v>23409</v>
      </c>
      <c r="G22" s="1012">
        <f t="shared" si="1"/>
        <v>468</v>
      </c>
      <c r="H22" s="1012">
        <f ca="1">'9.0중기목록'!$E$10</f>
        <v>14915</v>
      </c>
      <c r="I22" s="1012">
        <f t="shared" si="2"/>
        <v>298</v>
      </c>
      <c r="J22" s="1012">
        <f ca="1">'9.0중기목록'!$G$10</f>
        <v>4533</v>
      </c>
      <c r="K22" s="1016">
        <f t="shared" si="3"/>
        <v>90</v>
      </c>
    </row>
    <row r="23" spans="1:13" s="1001" customFormat="1" ht="20.100000000000001" customHeight="1">
      <c r="A23" s="1032" t="s">
        <v>864</v>
      </c>
      <c r="B23" s="1024" t="s">
        <v>868</v>
      </c>
      <c r="C23" s="1031">
        <f ca="1">'3.0수량표'!G37</f>
        <v>2.5000000000000001E-2</v>
      </c>
      <c r="D23" s="1024" t="s">
        <v>843</v>
      </c>
      <c r="E23" s="1012">
        <f t="shared" si="0"/>
        <v>867</v>
      </c>
      <c r="F23" s="1012">
        <f ca="1">'9.0중기목록'!$F$12</f>
        <v>6640</v>
      </c>
      <c r="G23" s="1012">
        <f t="shared" si="1"/>
        <v>166</v>
      </c>
      <c r="H23" s="1012">
        <f ca="1">'9.0중기목록'!$E$12</f>
        <v>17696</v>
      </c>
      <c r="I23" s="1012">
        <f t="shared" si="2"/>
        <v>442</v>
      </c>
      <c r="J23" s="1012">
        <f ca="1">'9.0중기목록'!$G$12</f>
        <v>10362</v>
      </c>
      <c r="K23" s="1016">
        <f t="shared" si="3"/>
        <v>259</v>
      </c>
    </row>
    <row r="24" spans="1:13" s="1001" customFormat="1" ht="20.100000000000001" customHeight="1">
      <c r="A24" s="1023" t="s">
        <v>2220</v>
      </c>
      <c r="B24" s="1024" t="s">
        <v>847</v>
      </c>
      <c r="C24" s="1031">
        <f ca="1">'3.0수량표'!G38</f>
        <v>0.02</v>
      </c>
      <c r="D24" s="1024" t="s">
        <v>843</v>
      </c>
      <c r="E24" s="1012">
        <f t="shared" si="0"/>
        <v>771</v>
      </c>
      <c r="F24" s="1012">
        <f ca="1">'9.0중기목록'!$F$14</f>
        <v>13117</v>
      </c>
      <c r="G24" s="1012">
        <f t="shared" si="1"/>
        <v>262</v>
      </c>
      <c r="H24" s="1012">
        <f ca="1">'9.0중기목록'!$E$14</f>
        <v>17696</v>
      </c>
      <c r="I24" s="1012">
        <f t="shared" si="2"/>
        <v>353</v>
      </c>
      <c r="J24" s="1012">
        <f ca="1">'9.0중기목록'!$G$14</f>
        <v>7823</v>
      </c>
      <c r="K24" s="1016">
        <f t="shared" si="3"/>
        <v>156</v>
      </c>
    </row>
    <row r="25" spans="1:13" s="1001" customFormat="1" ht="20.100000000000001" customHeight="1">
      <c r="A25" s="1030" t="s">
        <v>836</v>
      </c>
      <c r="B25" s="1024" t="s">
        <v>40</v>
      </c>
      <c r="C25" s="1031">
        <f ca="1">'3.0수량표'!G39</f>
        <v>0.02</v>
      </c>
      <c r="D25" s="1024" t="s">
        <v>843</v>
      </c>
      <c r="E25" s="1012">
        <f t="shared" si="0"/>
        <v>714</v>
      </c>
      <c r="F25" s="1012">
        <f ca="1">'9.0중기목록'!$F$16</f>
        <v>11978</v>
      </c>
      <c r="G25" s="1012">
        <f t="shared" si="1"/>
        <v>239</v>
      </c>
      <c r="H25" s="1012">
        <f ca="1">'9.0중기목록'!$E$16</f>
        <v>17696</v>
      </c>
      <c r="I25" s="1012">
        <f t="shared" si="2"/>
        <v>353</v>
      </c>
      <c r="J25" s="1012">
        <f ca="1">'9.0중기목록'!$G$16</f>
        <v>6117</v>
      </c>
      <c r="K25" s="1016">
        <f t="shared" si="3"/>
        <v>122</v>
      </c>
      <c r="M25" s="1029"/>
    </row>
    <row r="26" spans="1:13" s="1001" customFormat="1" ht="20.100000000000001" customHeight="1">
      <c r="A26" s="1023" t="s">
        <v>837</v>
      </c>
      <c r="B26" s="1024"/>
      <c r="C26" s="1031">
        <f ca="1">'3.0수량표'!G40</f>
        <v>3.0000000000000001E-3</v>
      </c>
      <c r="D26" s="1024" t="s">
        <v>1221</v>
      </c>
      <c r="E26" s="1012">
        <f t="shared" si="0"/>
        <v>276</v>
      </c>
      <c r="F26" s="1012"/>
      <c r="G26" s="1012"/>
      <c r="H26" s="1012">
        <f ca="1">'11.0시중노임'!$F$4</f>
        <v>92218</v>
      </c>
      <c r="I26" s="1012">
        <f t="shared" si="2"/>
        <v>276</v>
      </c>
      <c r="J26" s="1012"/>
      <c r="K26" s="1016"/>
    </row>
    <row r="27" spans="1:13" s="1001" customFormat="1" ht="20.100000000000001" customHeight="1">
      <c r="A27" s="1023" t="s">
        <v>1422</v>
      </c>
      <c r="B27" s="1024"/>
      <c r="C27" s="1031">
        <f ca="1">'3.0수량표'!G41</f>
        <v>1.6E-2</v>
      </c>
      <c r="D27" s="1024" t="s">
        <v>1221</v>
      </c>
      <c r="E27" s="1012">
        <f t="shared" si="0"/>
        <v>1350</v>
      </c>
      <c r="F27" s="1012"/>
      <c r="G27" s="1012"/>
      <c r="H27" s="1012">
        <f ca="1">'11.0시중노임'!$F$5</f>
        <v>84404</v>
      </c>
      <c r="I27" s="1012">
        <f t="shared" si="2"/>
        <v>1350</v>
      </c>
      <c r="J27" s="1012"/>
      <c r="K27" s="1016"/>
    </row>
    <row r="28" spans="1:13" s="1001" customFormat="1" ht="20.100000000000001" customHeight="1">
      <c r="A28" s="1023" t="s">
        <v>848</v>
      </c>
      <c r="B28" s="1024"/>
      <c r="C28" s="1031">
        <f ca="1">'3.0수량표'!G42</f>
        <v>3.0000000000000001E-3</v>
      </c>
      <c r="D28" s="1024" t="s">
        <v>1221</v>
      </c>
      <c r="E28" s="1012">
        <f t="shared" si="0"/>
        <v>259</v>
      </c>
      <c r="F28" s="1012"/>
      <c r="G28" s="1012"/>
      <c r="H28" s="1012">
        <f ca="1">'11.0시중노임'!$F$12</f>
        <v>86521</v>
      </c>
      <c r="I28" s="1012">
        <f t="shared" si="2"/>
        <v>259</v>
      </c>
      <c r="J28" s="1012"/>
      <c r="K28" s="1016"/>
    </row>
    <row r="29" spans="1:13" s="1001" customFormat="1" ht="20.100000000000001" customHeight="1">
      <c r="A29" s="1023" t="s">
        <v>839</v>
      </c>
      <c r="B29" s="1024"/>
      <c r="C29" s="1031">
        <f ca="1">'3.0수량표'!G43</f>
        <v>3.3000000000000002E-2</v>
      </c>
      <c r="D29" s="1024" t="s">
        <v>1221</v>
      </c>
      <c r="E29" s="1012">
        <f t="shared" si="0"/>
        <v>2275</v>
      </c>
      <c r="F29" s="1012"/>
      <c r="G29" s="1012"/>
      <c r="H29" s="1012">
        <f ca="1">'11.0시중노임'!$F$6</f>
        <v>68965</v>
      </c>
      <c r="I29" s="1012">
        <f t="shared" si="2"/>
        <v>2275</v>
      </c>
      <c r="J29" s="1012"/>
      <c r="K29" s="1016"/>
      <c r="M29" s="1029"/>
    </row>
    <row r="30" spans="1:13" s="1001" customFormat="1" ht="20.100000000000001" customHeight="1">
      <c r="A30" s="1023" t="s">
        <v>840</v>
      </c>
      <c r="B30" s="1024" t="s">
        <v>980</v>
      </c>
      <c r="C30" s="1025">
        <f ca="1">'3.0수량표'!D44</f>
        <v>2</v>
      </c>
      <c r="D30" s="1024" t="s">
        <v>861</v>
      </c>
      <c r="E30" s="1012">
        <f t="shared" si="0"/>
        <v>83</v>
      </c>
      <c r="F30" s="1012"/>
      <c r="G30" s="1012"/>
      <c r="H30" s="1012"/>
      <c r="I30" s="1012"/>
      <c r="J30" s="1012">
        <f>SUM(I26:I29)</f>
        <v>4160</v>
      </c>
      <c r="K30" s="1016">
        <f>INT(C30*J30/100)</f>
        <v>83</v>
      </c>
    </row>
    <row r="31" spans="1:13" s="1001" customFormat="1" ht="20.100000000000001" customHeight="1">
      <c r="A31" s="1023"/>
      <c r="B31" s="1024"/>
      <c r="C31" s="1025"/>
      <c r="D31" s="1024"/>
      <c r="E31" s="1012"/>
      <c r="F31" s="1012"/>
      <c r="G31" s="1012"/>
      <c r="H31" s="1012"/>
      <c r="I31" s="1012"/>
      <c r="J31" s="1012"/>
      <c r="K31" s="1016"/>
    </row>
    <row r="32" spans="1:13" s="1001" customFormat="1" ht="20.100000000000001" customHeight="1">
      <c r="A32" s="1023"/>
      <c r="B32" s="1024"/>
      <c r="C32" s="1031"/>
      <c r="D32" s="1024"/>
      <c r="E32" s="1012"/>
      <c r="F32" s="1012"/>
      <c r="G32" s="1012"/>
      <c r="H32" s="1012"/>
      <c r="I32" s="1012"/>
      <c r="J32" s="1012"/>
      <c r="K32" s="1016"/>
    </row>
    <row r="33" spans="1:11" s="1037" customFormat="1" ht="20.100000000000001" customHeight="1">
      <c r="A33" s="1017" t="s">
        <v>849</v>
      </c>
      <c r="B33" s="1033"/>
      <c r="C33" s="1034"/>
      <c r="D33" s="1033"/>
      <c r="E33" s="1035">
        <f>G33+I33+K33</f>
        <v>17319</v>
      </c>
      <c r="F33" s="1035"/>
      <c r="G33" s="1035">
        <f>SUM(G14:G32)</f>
        <v>10000</v>
      </c>
      <c r="H33" s="1035"/>
      <c r="I33" s="1035">
        <f>SUM(I14:I32)</f>
        <v>6017</v>
      </c>
      <c r="J33" s="1035"/>
      <c r="K33" s="1036">
        <f>SUM(K14:K32)</f>
        <v>1302</v>
      </c>
    </row>
    <row r="34" spans="1:11" s="1001" customFormat="1" ht="20.100000000000001" customHeight="1">
      <c r="A34" s="1038"/>
      <c r="B34" s="1039" t="s">
        <v>981</v>
      </c>
      <c r="C34" s="1039"/>
      <c r="D34" s="1040"/>
      <c r="E34" s="1012"/>
      <c r="F34" s="1039"/>
      <c r="G34" s="1039"/>
      <c r="H34" s="1039"/>
      <c r="I34" s="1039"/>
      <c r="J34" s="1039"/>
      <c r="K34" s="1041"/>
    </row>
    <row r="35" spans="1:11" s="1037" customFormat="1" ht="20.100000000000001" customHeight="1">
      <c r="A35" s="1042" t="s">
        <v>886</v>
      </c>
      <c r="B35" s="1043"/>
      <c r="C35" s="1043"/>
      <c r="D35" s="1044"/>
      <c r="E35" s="1045">
        <f>E33+E11</f>
        <v>21684</v>
      </c>
      <c r="F35" s="1045"/>
      <c r="G35" s="1045">
        <f>G33+G11</f>
        <v>12050</v>
      </c>
      <c r="H35" s="1045"/>
      <c r="I35" s="1045">
        <f>I33+I11</f>
        <v>8332</v>
      </c>
      <c r="J35" s="1045"/>
      <c r="K35" s="1046">
        <f>K33+K11</f>
        <v>1302</v>
      </c>
    </row>
  </sheetData>
  <mergeCells count="9">
    <mergeCell ref="A1:K1"/>
    <mergeCell ref="A3:A4"/>
    <mergeCell ref="B3:B4"/>
    <mergeCell ref="C3:C4"/>
    <mergeCell ref="D3:D4"/>
    <mergeCell ref="E3:E4"/>
    <mergeCell ref="F3:G3"/>
    <mergeCell ref="H3:I3"/>
    <mergeCell ref="J3:K3"/>
  </mergeCells>
  <phoneticPr fontId="3" type="noConversion"/>
  <printOptions horizontalCentered="1"/>
  <pageMargins left="0.74803149606299213" right="0.6692913385826772" top="0.78740157480314965" bottom="0.78740157480314965" header="0.51181102362204722" footer="0.39370078740157483"/>
  <pageSetup paperSize="9" orientation="portrait" horizontalDpi="4294967295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N35"/>
  <sheetViews>
    <sheetView zoomScaleSheetLayoutView="90" workbookViewId="0">
      <selection activeCell="A2" sqref="A2"/>
    </sheetView>
  </sheetViews>
  <sheetFormatPr defaultRowHeight="13.5"/>
  <cols>
    <col min="1" max="1" width="10.77734375" style="997" customWidth="1"/>
    <col min="2" max="2" width="9.77734375" style="997" customWidth="1"/>
    <col min="3" max="3" width="4.77734375" style="997" customWidth="1"/>
    <col min="4" max="4" width="4.33203125" style="1047" customWidth="1"/>
    <col min="5" max="5" width="7.33203125" style="1047" customWidth="1"/>
    <col min="6" max="11" width="6.33203125" style="997" customWidth="1"/>
    <col min="12" max="16384" width="8.88671875" style="997"/>
  </cols>
  <sheetData>
    <row r="1" spans="1:14" ht="26.1" customHeight="1">
      <c r="A1" s="1669" t="s">
        <v>1386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1001" customFormat="1" ht="13.5" customHeight="1">
      <c r="A2" s="998"/>
      <c r="B2" s="998"/>
      <c r="C2" s="998"/>
      <c r="D2" s="999"/>
      <c r="E2" s="999"/>
      <c r="F2" s="998"/>
      <c r="G2" s="998"/>
      <c r="H2" s="998"/>
      <c r="I2" s="998"/>
      <c r="J2" s="998"/>
      <c r="K2" s="1000" t="s">
        <v>977</v>
      </c>
    </row>
    <row r="3" spans="1:14" s="1001" customFormat="1" ht="20.100000000000001" customHeight="1">
      <c r="A3" s="1677" t="s">
        <v>285</v>
      </c>
      <c r="B3" s="1679" t="s">
        <v>286</v>
      </c>
      <c r="C3" s="1679" t="s">
        <v>1115</v>
      </c>
      <c r="D3" s="1679" t="s">
        <v>288</v>
      </c>
      <c r="E3" s="1681" t="s">
        <v>828</v>
      </c>
      <c r="F3" s="1679" t="s">
        <v>289</v>
      </c>
      <c r="G3" s="1679"/>
      <c r="H3" s="1679" t="s">
        <v>826</v>
      </c>
      <c r="I3" s="1679"/>
      <c r="J3" s="1679" t="s">
        <v>827</v>
      </c>
      <c r="K3" s="1683"/>
    </row>
    <row r="4" spans="1:14" s="1004" customFormat="1" ht="20.100000000000001" customHeight="1">
      <c r="A4" s="1678"/>
      <c r="B4" s="1680"/>
      <c r="C4" s="1680"/>
      <c r="D4" s="1680"/>
      <c r="E4" s="1682"/>
      <c r="F4" s="1002" t="s">
        <v>1405</v>
      </c>
      <c r="G4" s="1002" t="s">
        <v>830</v>
      </c>
      <c r="H4" s="1002" t="s">
        <v>1405</v>
      </c>
      <c r="I4" s="1002" t="s">
        <v>830</v>
      </c>
      <c r="J4" s="1002" t="s">
        <v>1405</v>
      </c>
      <c r="K4" s="1003" t="s">
        <v>830</v>
      </c>
    </row>
    <row r="5" spans="1:14" s="1008" customFormat="1" ht="20.100000000000001" customHeight="1">
      <c r="A5" s="1005" t="s">
        <v>881</v>
      </c>
      <c r="B5" s="1006"/>
      <c r="C5" s="1006"/>
      <c r="D5" s="1006"/>
      <c r="E5" s="1006"/>
      <c r="F5" s="1006"/>
      <c r="G5" s="1006"/>
      <c r="H5" s="1006"/>
      <c r="I5" s="1006"/>
      <c r="J5" s="1006"/>
      <c r="K5" s="1007"/>
    </row>
    <row r="6" spans="1:14" s="1014" customFormat="1" ht="20.100000000000001" customHeight="1">
      <c r="A6" s="1009" t="s">
        <v>882</v>
      </c>
      <c r="B6" s="1010" t="s">
        <v>2029</v>
      </c>
      <c r="C6" s="1011">
        <f ca="1">'3.0수량표'!D16</f>
        <v>1.2</v>
      </c>
      <c r="D6" s="1010" t="s">
        <v>869</v>
      </c>
      <c r="E6" s="1012">
        <f>G6+I6+K6</f>
        <v>1800</v>
      </c>
      <c r="F6" s="1010">
        <f ca="1">'8.0자재단가'!$I$18</f>
        <v>1500</v>
      </c>
      <c r="G6" s="1012">
        <f>INT(C6*F6)</f>
        <v>1800</v>
      </c>
      <c r="H6" s="1010"/>
      <c r="I6" s="1010"/>
      <c r="J6" s="1010"/>
      <c r="K6" s="1013"/>
    </row>
    <row r="7" spans="1:14" s="1014" customFormat="1" ht="20.100000000000001" customHeight="1">
      <c r="A7" s="1009" t="s">
        <v>887</v>
      </c>
      <c r="B7" s="1010" t="s">
        <v>1380</v>
      </c>
      <c r="C7" s="1011">
        <f ca="1">'3.0수량표'!D17</f>
        <v>0.5</v>
      </c>
      <c r="D7" s="1010" t="s">
        <v>869</v>
      </c>
      <c r="E7" s="1012">
        <f>G7+I7+K7</f>
        <v>250</v>
      </c>
      <c r="F7" s="1010">
        <f ca="1">'8.0자재단가'!$I$16</f>
        <v>500</v>
      </c>
      <c r="G7" s="1012">
        <f>INT(C7*F7)</f>
        <v>250</v>
      </c>
      <c r="H7" s="1010"/>
      <c r="I7" s="1010"/>
      <c r="J7" s="1010"/>
      <c r="K7" s="1013"/>
    </row>
    <row r="8" spans="1:14" s="1014" customFormat="1" ht="20.100000000000001" customHeight="1">
      <c r="A8" s="1009" t="s">
        <v>837</v>
      </c>
      <c r="B8" s="1010"/>
      <c r="C8" s="1015">
        <f ca="1">'3.0수량표'!D18</f>
        <v>1E-3</v>
      </c>
      <c r="D8" s="1010" t="s">
        <v>1221</v>
      </c>
      <c r="E8" s="1012">
        <f>G8+I8+K8</f>
        <v>92</v>
      </c>
      <c r="F8" s="1012"/>
      <c r="G8" s="1012"/>
      <c r="H8" s="1012">
        <f ca="1">'11.0시중노임'!$F$4</f>
        <v>92218</v>
      </c>
      <c r="I8" s="1012">
        <f>INT(C8*H8)</f>
        <v>92</v>
      </c>
      <c r="J8" s="1012"/>
      <c r="K8" s="1016"/>
    </row>
    <row r="9" spans="1:14" s="1014" customFormat="1" ht="20.100000000000001" customHeight="1">
      <c r="A9" s="1009" t="s">
        <v>1422</v>
      </c>
      <c r="B9" s="1010"/>
      <c r="C9" s="1015">
        <f ca="1">'3.0수량표'!D19</f>
        <v>0.01</v>
      </c>
      <c r="D9" s="1010" t="s">
        <v>1221</v>
      </c>
      <c r="E9" s="1012">
        <f>G9+I9+K9</f>
        <v>844</v>
      </c>
      <c r="F9" s="1012"/>
      <c r="G9" s="1012"/>
      <c r="H9" s="1012">
        <f ca="1">'11.0시중노임'!$F$5</f>
        <v>84404</v>
      </c>
      <c r="I9" s="1012">
        <f>INT(C9*H9)</f>
        <v>844</v>
      </c>
      <c r="J9" s="1010"/>
      <c r="K9" s="1013"/>
    </row>
    <row r="10" spans="1:14" s="1014" customFormat="1" ht="20.100000000000001" customHeight="1">
      <c r="A10" s="1009" t="s">
        <v>839</v>
      </c>
      <c r="B10" s="1010"/>
      <c r="C10" s="1015">
        <f ca="1">'3.0수량표'!D20</f>
        <v>0.02</v>
      </c>
      <c r="D10" s="1010" t="s">
        <v>1221</v>
      </c>
      <c r="E10" s="1012">
        <f>G10+I10+K10</f>
        <v>1379</v>
      </c>
      <c r="F10" s="1012"/>
      <c r="G10" s="1012"/>
      <c r="H10" s="1012">
        <f ca="1">'11.0시중노임'!$F$6</f>
        <v>68965</v>
      </c>
      <c r="I10" s="1012">
        <f>INT(C10*H10)</f>
        <v>1379</v>
      </c>
      <c r="J10" s="1010"/>
      <c r="K10" s="1013"/>
    </row>
    <row r="11" spans="1:14" s="1021" customFormat="1" ht="20.100000000000001" customHeight="1">
      <c r="A11" s="1017" t="s">
        <v>849</v>
      </c>
      <c r="B11" s="1018"/>
      <c r="C11" s="1018"/>
      <c r="D11" s="1018"/>
      <c r="E11" s="1019">
        <f>SUM(E6:E10)</f>
        <v>4365</v>
      </c>
      <c r="F11" s="1018"/>
      <c r="G11" s="1019">
        <f>SUM(G6:G10)</f>
        <v>2050</v>
      </c>
      <c r="H11" s="1018"/>
      <c r="I11" s="1019">
        <f>SUM(I6:I10)</f>
        <v>2315</v>
      </c>
      <c r="J11" s="1018"/>
      <c r="K11" s="1020"/>
    </row>
    <row r="12" spans="1:14" s="1014" customFormat="1" ht="20.100000000000001" customHeight="1">
      <c r="A12" s="1009"/>
      <c r="B12" s="1010"/>
      <c r="C12" s="1010"/>
      <c r="D12" s="1010"/>
      <c r="E12" s="1010"/>
      <c r="F12" s="1010"/>
      <c r="G12" s="1010"/>
      <c r="H12" s="1010"/>
      <c r="I12" s="1010"/>
      <c r="J12" s="1010"/>
      <c r="K12" s="1013"/>
    </row>
    <row r="13" spans="1:14" s="1008" customFormat="1" ht="20.100000000000001" customHeight="1">
      <c r="A13" s="1022" t="s">
        <v>2030</v>
      </c>
      <c r="B13" s="1010"/>
      <c r="C13" s="1010"/>
      <c r="D13" s="1010"/>
      <c r="E13" s="1010"/>
      <c r="F13" s="1010"/>
      <c r="G13" s="1010"/>
      <c r="H13" s="1010"/>
      <c r="I13" s="1010"/>
      <c r="J13" s="1010"/>
      <c r="K13" s="1013"/>
    </row>
    <row r="14" spans="1:14" s="1004" customFormat="1" ht="20.100000000000001" customHeight="1">
      <c r="A14" s="1023" t="s">
        <v>850</v>
      </c>
      <c r="B14" s="1024" t="s">
        <v>851</v>
      </c>
      <c r="C14" s="1025">
        <f ca="1">'3.0수량표'!H28</f>
        <v>45</v>
      </c>
      <c r="D14" s="1024" t="s">
        <v>831</v>
      </c>
      <c r="E14" s="1012">
        <f t="shared" ref="E14:E30" si="0">G14+I14+K14</f>
        <v>6750</v>
      </c>
      <c r="F14" s="1012">
        <f ca="1">'8.0자재단가'!$I$8</f>
        <v>150</v>
      </c>
      <c r="G14" s="1012">
        <f>INT(C14*F14)</f>
        <v>6750</v>
      </c>
      <c r="H14" s="1012"/>
      <c r="I14" s="1012"/>
      <c r="J14" s="1012"/>
      <c r="K14" s="1016"/>
    </row>
    <row r="15" spans="1:14" s="1001" customFormat="1" ht="20.100000000000001" customHeight="1">
      <c r="A15" s="1026" t="s">
        <v>33</v>
      </c>
      <c r="B15" s="1024" t="s">
        <v>832</v>
      </c>
      <c r="C15" s="1025">
        <f ca="1">'3.0수량표'!H29</f>
        <v>10.999999999999998</v>
      </c>
      <c r="D15" s="1024" t="s">
        <v>831</v>
      </c>
      <c r="E15" s="1012">
        <f t="shared" si="0"/>
        <v>1870</v>
      </c>
      <c r="F15" s="1012">
        <f ca="1">'8.0자재단가'!$I$9</f>
        <v>170</v>
      </c>
      <c r="G15" s="1012">
        <f>INT(C15*F15)</f>
        <v>1870</v>
      </c>
      <c r="H15" s="1012"/>
      <c r="I15" s="1012"/>
      <c r="J15" s="1012"/>
      <c r="K15" s="1016"/>
    </row>
    <row r="16" spans="1:14" s="1001" customFormat="1" ht="20.100000000000001" customHeight="1">
      <c r="A16" s="1023" t="s">
        <v>853</v>
      </c>
      <c r="B16" s="1027" t="s">
        <v>34</v>
      </c>
      <c r="C16" s="1025">
        <f ca="1">'3.0수량표'!H30</f>
        <v>1.9999999999999998</v>
      </c>
      <c r="D16" s="1024" t="s">
        <v>859</v>
      </c>
      <c r="E16" s="1012">
        <f t="shared" si="0"/>
        <v>400</v>
      </c>
      <c r="F16" s="1012">
        <f ca="1">'8.0자재단가'!$I$10</f>
        <v>200</v>
      </c>
      <c r="G16" s="1012">
        <f>INT(C16*F16)</f>
        <v>400</v>
      </c>
      <c r="H16" s="1012"/>
      <c r="I16" s="1012"/>
      <c r="J16" s="1012"/>
      <c r="K16" s="1016"/>
      <c r="M16" s="1028"/>
      <c r="N16" s="1028"/>
    </row>
    <row r="17" spans="1:13" s="1001" customFormat="1" ht="20.100000000000001" customHeight="1">
      <c r="A17" s="1023" t="s">
        <v>854</v>
      </c>
      <c r="B17" s="1024" t="s">
        <v>35</v>
      </c>
      <c r="C17" s="1025">
        <f ca="1">'3.0수량표'!H31</f>
        <v>0.49999999999999994</v>
      </c>
      <c r="D17" s="1024" t="s">
        <v>859</v>
      </c>
      <c r="E17" s="1012">
        <f t="shared" si="0"/>
        <v>500</v>
      </c>
      <c r="F17" s="1012">
        <f ca="1">'8.0자재단가'!$I$11</f>
        <v>1000</v>
      </c>
      <c r="G17" s="1012">
        <f>INT(C17*F17)</f>
        <v>500</v>
      </c>
      <c r="H17" s="1012"/>
      <c r="I17" s="1012"/>
      <c r="J17" s="1012"/>
      <c r="K17" s="1016"/>
    </row>
    <row r="18" spans="1:13" s="1001" customFormat="1" ht="20.100000000000001" customHeight="1">
      <c r="A18" s="1023" t="s">
        <v>856</v>
      </c>
      <c r="B18" s="1024" t="s">
        <v>36</v>
      </c>
      <c r="C18" s="1025">
        <f ca="1">'3.0수량표'!H32</f>
        <v>30</v>
      </c>
      <c r="D18" s="1024" t="s">
        <v>842</v>
      </c>
      <c r="E18" s="1012">
        <f t="shared" si="0"/>
        <v>2400</v>
      </c>
      <c r="F18" s="1012">
        <f ca="1">'8.0자재단가'!$I$14</f>
        <v>80</v>
      </c>
      <c r="G18" s="1012">
        <f>INT(C18*F18)</f>
        <v>2400</v>
      </c>
      <c r="H18" s="1012"/>
      <c r="I18" s="1012"/>
      <c r="J18" s="1012"/>
      <c r="K18" s="1016"/>
    </row>
    <row r="19" spans="1:13" s="1001" customFormat="1" ht="20.100000000000001" customHeight="1">
      <c r="A19" s="1023" t="s">
        <v>666</v>
      </c>
      <c r="B19" s="1024" t="s">
        <v>37</v>
      </c>
      <c r="C19" s="1025">
        <f ca="1">'3.0수량표'!H33</f>
        <v>2</v>
      </c>
      <c r="D19" s="1024" t="s">
        <v>861</v>
      </c>
      <c r="E19" s="1012">
        <f t="shared" si="0"/>
        <v>238</v>
      </c>
      <c r="F19" s="1012">
        <f>SUM(G14:G18)</f>
        <v>11920</v>
      </c>
      <c r="G19" s="1012">
        <f>INT(C19*F19/100)</f>
        <v>238</v>
      </c>
      <c r="H19" s="1012"/>
      <c r="I19" s="1012"/>
      <c r="J19" s="1012"/>
      <c r="K19" s="1016"/>
      <c r="M19" s="1029"/>
    </row>
    <row r="20" spans="1:13" s="1001" customFormat="1" ht="20.100000000000001" customHeight="1">
      <c r="A20" s="1030" t="s">
        <v>865</v>
      </c>
      <c r="B20" s="1024" t="s">
        <v>876</v>
      </c>
      <c r="C20" s="1031">
        <f ca="1">'3.0수량표'!H34</f>
        <v>0.03</v>
      </c>
      <c r="D20" s="1024" t="s">
        <v>843</v>
      </c>
      <c r="E20" s="1012">
        <f t="shared" si="0"/>
        <v>749</v>
      </c>
      <c r="F20" s="1012">
        <f ca="1">'9.0중기목록'!$F$6</f>
        <v>0</v>
      </c>
      <c r="G20" s="1012">
        <f t="shared" ref="G20:G25" si="1">INT(C20*F20)</f>
        <v>0</v>
      </c>
      <c r="H20" s="1012">
        <f ca="1">'9.0중기목록'!$E$6</f>
        <v>0</v>
      </c>
      <c r="I20" s="1012">
        <f t="shared" ref="I20:I29" si="2">INT(C20*H20)</f>
        <v>0</v>
      </c>
      <c r="J20" s="1012">
        <f ca="1">'9.0중기목록'!$G$6</f>
        <v>24973</v>
      </c>
      <c r="K20" s="1016">
        <f t="shared" ref="K20:K25" si="3">INT(C20*J20)</f>
        <v>749</v>
      </c>
    </row>
    <row r="21" spans="1:13" s="1001" customFormat="1" ht="20.100000000000001" customHeight="1">
      <c r="A21" s="1030" t="s">
        <v>835</v>
      </c>
      <c r="B21" s="1024" t="s">
        <v>844</v>
      </c>
      <c r="C21" s="1031">
        <f ca="1">'3.0수량표'!H35</f>
        <v>0.03</v>
      </c>
      <c r="D21" s="1024" t="s">
        <v>843</v>
      </c>
      <c r="E21" s="1012">
        <f t="shared" si="0"/>
        <v>1642</v>
      </c>
      <c r="F21" s="1012">
        <f ca="1">'9.0중기목록'!$F$8</f>
        <v>29577</v>
      </c>
      <c r="G21" s="1012">
        <f t="shared" si="1"/>
        <v>887</v>
      </c>
      <c r="H21" s="1012">
        <f ca="1">'9.0중기목록'!$E$8</f>
        <v>20561</v>
      </c>
      <c r="I21" s="1012">
        <f t="shared" si="2"/>
        <v>616</v>
      </c>
      <c r="J21" s="1012">
        <f ca="1">'9.0중기목록'!$G$8</f>
        <v>4656</v>
      </c>
      <c r="K21" s="1016">
        <f t="shared" si="3"/>
        <v>139</v>
      </c>
    </row>
    <row r="22" spans="1:13" s="1001" customFormat="1" ht="20.100000000000001" customHeight="1">
      <c r="A22" s="1030" t="s">
        <v>38</v>
      </c>
      <c r="B22" s="1024" t="s">
        <v>39</v>
      </c>
      <c r="C22" s="1031">
        <f ca="1">'3.0수량표'!H36</f>
        <v>0.03</v>
      </c>
      <c r="D22" s="1024" t="s">
        <v>843</v>
      </c>
      <c r="E22" s="1012">
        <f t="shared" si="0"/>
        <v>1284</v>
      </c>
      <c r="F22" s="1012">
        <f ca="1">'9.0중기목록'!$F$10</f>
        <v>23409</v>
      </c>
      <c r="G22" s="1012">
        <f t="shared" si="1"/>
        <v>702</v>
      </c>
      <c r="H22" s="1012">
        <f ca="1">'9.0중기목록'!$E$10</f>
        <v>14915</v>
      </c>
      <c r="I22" s="1012">
        <f t="shared" si="2"/>
        <v>447</v>
      </c>
      <c r="J22" s="1012">
        <f ca="1">'9.0중기목록'!$G$10</f>
        <v>4533</v>
      </c>
      <c r="K22" s="1016">
        <f t="shared" si="3"/>
        <v>135</v>
      </c>
    </row>
    <row r="23" spans="1:13" s="1001" customFormat="1" ht="20.100000000000001" customHeight="1">
      <c r="A23" s="1032" t="s">
        <v>864</v>
      </c>
      <c r="B23" s="1024" t="s">
        <v>868</v>
      </c>
      <c r="C23" s="1031">
        <f ca="1">'3.0수량표'!H37</f>
        <v>3.5000000000000003E-2</v>
      </c>
      <c r="D23" s="1024" t="s">
        <v>843</v>
      </c>
      <c r="E23" s="1012">
        <f t="shared" si="0"/>
        <v>1213</v>
      </c>
      <c r="F23" s="1012">
        <f ca="1">'9.0중기목록'!$F$12</f>
        <v>6640</v>
      </c>
      <c r="G23" s="1012">
        <f t="shared" si="1"/>
        <v>232</v>
      </c>
      <c r="H23" s="1012">
        <f ca="1">'9.0중기목록'!$E$12</f>
        <v>17696</v>
      </c>
      <c r="I23" s="1012">
        <f t="shared" si="2"/>
        <v>619</v>
      </c>
      <c r="J23" s="1012">
        <f ca="1">'9.0중기목록'!$G$12</f>
        <v>10362</v>
      </c>
      <c r="K23" s="1016">
        <f t="shared" si="3"/>
        <v>362</v>
      </c>
    </row>
    <row r="24" spans="1:13" s="1001" customFormat="1" ht="20.100000000000001" customHeight="1">
      <c r="A24" s="1023" t="s">
        <v>2220</v>
      </c>
      <c r="B24" s="1024" t="s">
        <v>847</v>
      </c>
      <c r="C24" s="1031">
        <f ca="1">'3.0수량표'!H38</f>
        <v>0.03</v>
      </c>
      <c r="D24" s="1024" t="s">
        <v>843</v>
      </c>
      <c r="E24" s="1012">
        <f t="shared" si="0"/>
        <v>1157</v>
      </c>
      <c r="F24" s="1012">
        <f ca="1">'9.0중기목록'!$F$14</f>
        <v>13117</v>
      </c>
      <c r="G24" s="1012">
        <f t="shared" si="1"/>
        <v>393</v>
      </c>
      <c r="H24" s="1012">
        <f ca="1">'9.0중기목록'!$E$14</f>
        <v>17696</v>
      </c>
      <c r="I24" s="1012">
        <f t="shared" si="2"/>
        <v>530</v>
      </c>
      <c r="J24" s="1012">
        <f ca="1">'9.0중기목록'!$G$14</f>
        <v>7823</v>
      </c>
      <c r="K24" s="1016">
        <f t="shared" si="3"/>
        <v>234</v>
      </c>
    </row>
    <row r="25" spans="1:13" s="1001" customFormat="1" ht="20.100000000000001" customHeight="1">
      <c r="A25" s="1030" t="s">
        <v>836</v>
      </c>
      <c r="B25" s="1024" t="s">
        <v>40</v>
      </c>
      <c r="C25" s="1031">
        <f ca="1">'3.0수량표'!H39</f>
        <v>0.03</v>
      </c>
      <c r="D25" s="1024" t="s">
        <v>843</v>
      </c>
      <c r="E25" s="1012">
        <f t="shared" si="0"/>
        <v>1072</v>
      </c>
      <c r="F25" s="1012">
        <f ca="1">'9.0중기목록'!$F$16</f>
        <v>11978</v>
      </c>
      <c r="G25" s="1012">
        <f t="shared" si="1"/>
        <v>359</v>
      </c>
      <c r="H25" s="1012">
        <f ca="1">'9.0중기목록'!$E$16</f>
        <v>17696</v>
      </c>
      <c r="I25" s="1012">
        <f t="shared" si="2"/>
        <v>530</v>
      </c>
      <c r="J25" s="1012">
        <f ca="1">'9.0중기목록'!$G$16</f>
        <v>6117</v>
      </c>
      <c r="K25" s="1016">
        <f t="shared" si="3"/>
        <v>183</v>
      </c>
      <c r="M25" s="1029"/>
    </row>
    <row r="26" spans="1:13" s="1001" customFormat="1" ht="20.100000000000001" customHeight="1">
      <c r="A26" s="1023" t="s">
        <v>837</v>
      </c>
      <c r="B26" s="1024"/>
      <c r="C26" s="1031">
        <f ca="1">'3.0수량표'!H40</f>
        <v>5.0000000000000001E-3</v>
      </c>
      <c r="D26" s="1024" t="s">
        <v>1221</v>
      </c>
      <c r="E26" s="1012">
        <f t="shared" si="0"/>
        <v>461</v>
      </c>
      <c r="F26" s="1012"/>
      <c r="G26" s="1012"/>
      <c r="H26" s="1012">
        <f ca="1">'11.0시중노임'!$F$4</f>
        <v>92218</v>
      </c>
      <c r="I26" s="1012">
        <f t="shared" si="2"/>
        <v>461</v>
      </c>
      <c r="J26" s="1012"/>
      <c r="K26" s="1016"/>
    </row>
    <row r="27" spans="1:13" s="1001" customFormat="1" ht="20.100000000000001" customHeight="1">
      <c r="A27" s="1023" t="s">
        <v>1422</v>
      </c>
      <c r="B27" s="1024"/>
      <c r="C27" s="1031">
        <f ca="1">'3.0수량표'!H41</f>
        <v>2.1999999999999999E-2</v>
      </c>
      <c r="D27" s="1024" t="s">
        <v>1221</v>
      </c>
      <c r="E27" s="1012">
        <f t="shared" si="0"/>
        <v>1856</v>
      </c>
      <c r="F27" s="1012"/>
      <c r="G27" s="1012"/>
      <c r="H27" s="1012">
        <f ca="1">'11.0시중노임'!$F$5</f>
        <v>84404</v>
      </c>
      <c r="I27" s="1012">
        <f t="shared" si="2"/>
        <v>1856</v>
      </c>
      <c r="J27" s="1012"/>
      <c r="K27" s="1016"/>
    </row>
    <row r="28" spans="1:13" s="1001" customFormat="1" ht="20.100000000000001" customHeight="1">
      <c r="A28" s="1023" t="s">
        <v>848</v>
      </c>
      <c r="B28" s="1024"/>
      <c r="C28" s="1031">
        <f ca="1">'3.0수량표'!H42</f>
        <v>5.0000000000000001E-3</v>
      </c>
      <c r="D28" s="1024" t="s">
        <v>1221</v>
      </c>
      <c r="E28" s="1012">
        <f t="shared" si="0"/>
        <v>432</v>
      </c>
      <c r="F28" s="1012"/>
      <c r="G28" s="1012"/>
      <c r="H28" s="1012">
        <f ca="1">'11.0시중노임'!$F$12</f>
        <v>86521</v>
      </c>
      <c r="I28" s="1012">
        <f t="shared" si="2"/>
        <v>432</v>
      </c>
      <c r="J28" s="1012"/>
      <c r="K28" s="1016"/>
    </row>
    <row r="29" spans="1:13" s="1001" customFormat="1" ht="20.100000000000001" customHeight="1">
      <c r="A29" s="1023" t="s">
        <v>839</v>
      </c>
      <c r="B29" s="1024"/>
      <c r="C29" s="1031">
        <f ca="1">'3.0수량표'!H43</f>
        <v>3.7999999999999999E-2</v>
      </c>
      <c r="D29" s="1024" t="s">
        <v>1221</v>
      </c>
      <c r="E29" s="1012">
        <f t="shared" si="0"/>
        <v>2620</v>
      </c>
      <c r="F29" s="1012"/>
      <c r="G29" s="1012"/>
      <c r="H29" s="1012">
        <f ca="1">'11.0시중노임'!$F$6</f>
        <v>68965</v>
      </c>
      <c r="I29" s="1012">
        <f t="shared" si="2"/>
        <v>2620</v>
      </c>
      <c r="J29" s="1012"/>
      <c r="K29" s="1016"/>
      <c r="M29" s="1029"/>
    </row>
    <row r="30" spans="1:13" s="1001" customFormat="1" ht="20.100000000000001" customHeight="1">
      <c r="A30" s="1023" t="s">
        <v>840</v>
      </c>
      <c r="B30" s="1024" t="s">
        <v>980</v>
      </c>
      <c r="C30" s="1025">
        <f ca="1">'3.0수량표'!D44</f>
        <v>2</v>
      </c>
      <c r="D30" s="1024" t="s">
        <v>861</v>
      </c>
      <c r="E30" s="1012">
        <f t="shared" si="0"/>
        <v>107</v>
      </c>
      <c r="F30" s="1012"/>
      <c r="G30" s="1012"/>
      <c r="H30" s="1012"/>
      <c r="I30" s="1012"/>
      <c r="J30" s="1012">
        <f>SUM(I26:I29)</f>
        <v>5369</v>
      </c>
      <c r="K30" s="1016">
        <f>INT(C30*J30/100)</f>
        <v>107</v>
      </c>
    </row>
    <row r="31" spans="1:13" s="1001" customFormat="1" ht="20.100000000000001" customHeight="1">
      <c r="A31" s="1023"/>
      <c r="B31" s="1024"/>
      <c r="C31" s="1025"/>
      <c r="D31" s="1024"/>
      <c r="E31" s="1012"/>
      <c r="F31" s="1012"/>
      <c r="G31" s="1012"/>
      <c r="H31" s="1012"/>
      <c r="I31" s="1012"/>
      <c r="J31" s="1012"/>
      <c r="K31" s="1016"/>
    </row>
    <row r="32" spans="1:13" s="1001" customFormat="1" ht="20.100000000000001" customHeight="1">
      <c r="A32" s="1023"/>
      <c r="B32" s="1024"/>
      <c r="C32" s="1031"/>
      <c r="D32" s="1024"/>
      <c r="E32" s="1012"/>
      <c r="F32" s="1012"/>
      <c r="G32" s="1012"/>
      <c r="H32" s="1012"/>
      <c r="I32" s="1012"/>
      <c r="J32" s="1012"/>
      <c r="K32" s="1016"/>
    </row>
    <row r="33" spans="1:11" s="1037" customFormat="1" ht="20.100000000000001" customHeight="1">
      <c r="A33" s="1017" t="s">
        <v>849</v>
      </c>
      <c r="B33" s="1033"/>
      <c r="C33" s="1034"/>
      <c r="D33" s="1033"/>
      <c r="E33" s="1035">
        <f>G33+I33+K33</f>
        <v>24751</v>
      </c>
      <c r="F33" s="1035"/>
      <c r="G33" s="1035">
        <f>SUM(G14:G32)</f>
        <v>14731</v>
      </c>
      <c r="H33" s="1035"/>
      <c r="I33" s="1035">
        <f>SUM(I14:I32)</f>
        <v>8111</v>
      </c>
      <c r="J33" s="1035"/>
      <c r="K33" s="1036">
        <f>SUM(K14:K32)</f>
        <v>1909</v>
      </c>
    </row>
    <row r="34" spans="1:11" s="1001" customFormat="1" ht="20.100000000000001" customHeight="1">
      <c r="A34" s="1038"/>
      <c r="B34" s="1039" t="s">
        <v>981</v>
      </c>
      <c r="C34" s="1039"/>
      <c r="D34" s="1040"/>
      <c r="E34" s="1012"/>
      <c r="F34" s="1039"/>
      <c r="G34" s="1039"/>
      <c r="H34" s="1039"/>
      <c r="I34" s="1039"/>
      <c r="J34" s="1039"/>
      <c r="K34" s="1041"/>
    </row>
    <row r="35" spans="1:11" s="1037" customFormat="1" ht="20.100000000000001" customHeight="1">
      <c r="A35" s="1042" t="s">
        <v>886</v>
      </c>
      <c r="B35" s="1043"/>
      <c r="C35" s="1043"/>
      <c r="D35" s="1044"/>
      <c r="E35" s="1045">
        <f>E33+E11</f>
        <v>29116</v>
      </c>
      <c r="F35" s="1045"/>
      <c r="G35" s="1045">
        <f>G33+G11</f>
        <v>16781</v>
      </c>
      <c r="H35" s="1045"/>
      <c r="I35" s="1045">
        <f>I33+I11</f>
        <v>10426</v>
      </c>
      <c r="J35" s="1045"/>
      <c r="K35" s="1046">
        <f>K33+K11</f>
        <v>1909</v>
      </c>
    </row>
  </sheetData>
  <mergeCells count="9">
    <mergeCell ref="A1:K1"/>
    <mergeCell ref="F3:G3"/>
    <mergeCell ref="H3:I3"/>
    <mergeCell ref="J3:K3"/>
    <mergeCell ref="E3:E4"/>
    <mergeCell ref="A3:A4"/>
    <mergeCell ref="B3:B4"/>
    <mergeCell ref="C3:C4"/>
    <mergeCell ref="D3:D4"/>
  </mergeCells>
  <phoneticPr fontId="3" type="noConversion"/>
  <printOptions horizontalCentered="1"/>
  <pageMargins left="0.74803149606299213" right="0.6692913385826772" top="0.78740157480314965" bottom="0.78740157480314965" header="0.51181102362204722" footer="0.39370078740157483"/>
  <pageSetup paperSize="9" orientation="portrait" horizontalDpi="4294967295" verticalDpi="300" r:id="rId1"/>
  <headerFooter alignWithMargins="0">
    <oddFooter xml:space="preserve">&amp;R&amp;10
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35"/>
  <sheetViews>
    <sheetView zoomScaleSheetLayoutView="90" workbookViewId="0">
      <selection sqref="A1:IV65536"/>
    </sheetView>
  </sheetViews>
  <sheetFormatPr defaultRowHeight="13.5"/>
  <cols>
    <col min="1" max="1" width="10.77734375" style="997" customWidth="1"/>
    <col min="2" max="2" width="9.77734375" style="997" customWidth="1"/>
    <col min="3" max="3" width="4.77734375" style="997" customWidth="1"/>
    <col min="4" max="4" width="4.33203125" style="1047" customWidth="1"/>
    <col min="5" max="5" width="7.33203125" style="1047" customWidth="1"/>
    <col min="6" max="11" width="6.33203125" style="997" customWidth="1"/>
    <col min="12" max="16384" width="8.88671875" style="997"/>
  </cols>
  <sheetData>
    <row r="1" spans="1:14" ht="26.1" customHeight="1">
      <c r="A1" s="1669" t="s">
        <v>1387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1001" customFormat="1" ht="13.5" customHeight="1">
      <c r="A2" s="998"/>
      <c r="B2" s="998"/>
      <c r="C2" s="998"/>
      <c r="D2" s="999"/>
      <c r="E2" s="999"/>
      <c r="F2" s="998"/>
      <c r="G2" s="998"/>
      <c r="H2" s="998"/>
      <c r="I2" s="998"/>
      <c r="J2" s="998"/>
      <c r="K2" s="1000" t="s">
        <v>977</v>
      </c>
    </row>
    <row r="3" spans="1:14" s="1001" customFormat="1" ht="20.100000000000001" customHeight="1">
      <c r="A3" s="1686" t="s">
        <v>285</v>
      </c>
      <c r="B3" s="1681" t="s">
        <v>286</v>
      </c>
      <c r="C3" s="1681" t="s">
        <v>1115</v>
      </c>
      <c r="D3" s="1681" t="s">
        <v>288</v>
      </c>
      <c r="E3" s="1681" t="s">
        <v>828</v>
      </c>
      <c r="F3" s="1684" t="s">
        <v>289</v>
      </c>
      <c r="G3" s="1688"/>
      <c r="H3" s="1684" t="s">
        <v>826</v>
      </c>
      <c r="I3" s="1688"/>
      <c r="J3" s="1684" t="s">
        <v>827</v>
      </c>
      <c r="K3" s="1685"/>
    </row>
    <row r="4" spans="1:14" s="1004" customFormat="1" ht="20.100000000000001" customHeight="1">
      <c r="A4" s="1687"/>
      <c r="B4" s="1682"/>
      <c r="C4" s="1682"/>
      <c r="D4" s="1682"/>
      <c r="E4" s="1682"/>
      <c r="F4" s="1002" t="s">
        <v>1405</v>
      </c>
      <c r="G4" s="1002" t="s">
        <v>830</v>
      </c>
      <c r="H4" s="1002" t="s">
        <v>1405</v>
      </c>
      <c r="I4" s="1002" t="s">
        <v>830</v>
      </c>
      <c r="J4" s="1002" t="s">
        <v>1405</v>
      </c>
      <c r="K4" s="1003" t="s">
        <v>830</v>
      </c>
    </row>
    <row r="5" spans="1:14" s="1008" customFormat="1" ht="20.100000000000001" customHeight="1">
      <c r="A5" s="1005" t="s">
        <v>881</v>
      </c>
      <c r="B5" s="1006"/>
      <c r="C5" s="1006"/>
      <c r="D5" s="1006"/>
      <c r="E5" s="1006"/>
      <c r="F5" s="1006"/>
      <c r="G5" s="1006"/>
      <c r="H5" s="1006"/>
      <c r="I5" s="1006"/>
      <c r="J5" s="1006"/>
      <c r="K5" s="1007"/>
    </row>
    <row r="6" spans="1:14" s="1014" customFormat="1" ht="20.100000000000001" customHeight="1">
      <c r="A6" s="1009" t="s">
        <v>882</v>
      </c>
      <c r="B6" s="1010" t="s">
        <v>2029</v>
      </c>
      <c r="C6" s="1011">
        <f ca="1">'3.0수량표'!D16</f>
        <v>1.2</v>
      </c>
      <c r="D6" s="1010" t="s">
        <v>869</v>
      </c>
      <c r="E6" s="1012">
        <f>G6+I6+K6</f>
        <v>1800</v>
      </c>
      <c r="F6" s="1010">
        <f ca="1">'8.0자재단가'!$I$18</f>
        <v>1500</v>
      </c>
      <c r="G6" s="1012">
        <f>INT(C6*F6)</f>
        <v>1800</v>
      </c>
      <c r="H6" s="1010"/>
      <c r="I6" s="1010"/>
      <c r="J6" s="1010"/>
      <c r="K6" s="1013"/>
    </row>
    <row r="7" spans="1:14" s="1014" customFormat="1" ht="20.100000000000001" customHeight="1">
      <c r="A7" s="1009" t="s">
        <v>887</v>
      </c>
      <c r="B7" s="1010" t="s">
        <v>1380</v>
      </c>
      <c r="C7" s="1011">
        <f ca="1">'3.0수량표'!D17</f>
        <v>0.5</v>
      </c>
      <c r="D7" s="1010" t="s">
        <v>869</v>
      </c>
      <c r="E7" s="1012">
        <f>G7+I7+K7</f>
        <v>250</v>
      </c>
      <c r="F7" s="1010">
        <f ca="1">'8.0자재단가'!$I$16</f>
        <v>500</v>
      </c>
      <c r="G7" s="1012">
        <f>INT(C7*F7)</f>
        <v>250</v>
      </c>
      <c r="H7" s="1010"/>
      <c r="I7" s="1010"/>
      <c r="J7" s="1010"/>
      <c r="K7" s="1013"/>
    </row>
    <row r="8" spans="1:14" s="1014" customFormat="1" ht="20.100000000000001" customHeight="1">
      <c r="A8" s="1009" t="s">
        <v>837</v>
      </c>
      <c r="B8" s="1010"/>
      <c r="C8" s="1015">
        <f ca="1">'3.0수량표'!D18</f>
        <v>1E-3</v>
      </c>
      <c r="D8" s="1010" t="s">
        <v>1221</v>
      </c>
      <c r="E8" s="1012">
        <f>G8+I8+K8</f>
        <v>92</v>
      </c>
      <c r="F8" s="1012"/>
      <c r="G8" s="1012"/>
      <c r="H8" s="1012">
        <f ca="1">'11.0시중노임'!$F$4</f>
        <v>92218</v>
      </c>
      <c r="I8" s="1012">
        <f>INT(C8*H8)</f>
        <v>92</v>
      </c>
      <c r="J8" s="1012"/>
      <c r="K8" s="1016"/>
    </row>
    <row r="9" spans="1:14" s="1014" customFormat="1" ht="20.100000000000001" customHeight="1">
      <c r="A9" s="1009" t="s">
        <v>1422</v>
      </c>
      <c r="B9" s="1010"/>
      <c r="C9" s="1015">
        <f ca="1">'3.0수량표'!D19</f>
        <v>0.01</v>
      </c>
      <c r="D9" s="1010" t="s">
        <v>1221</v>
      </c>
      <c r="E9" s="1012">
        <f>G9+I9+K9</f>
        <v>844</v>
      </c>
      <c r="F9" s="1012"/>
      <c r="G9" s="1012"/>
      <c r="H9" s="1012">
        <f ca="1">'11.0시중노임'!$F$5</f>
        <v>84404</v>
      </c>
      <c r="I9" s="1012">
        <f>INT(C9*H9)</f>
        <v>844</v>
      </c>
      <c r="J9" s="1010"/>
      <c r="K9" s="1013"/>
    </row>
    <row r="10" spans="1:14" s="1014" customFormat="1" ht="20.100000000000001" customHeight="1">
      <c r="A10" s="1009" t="s">
        <v>839</v>
      </c>
      <c r="B10" s="1010"/>
      <c r="C10" s="1015">
        <f ca="1">'3.0수량표'!D20</f>
        <v>0.02</v>
      </c>
      <c r="D10" s="1010" t="s">
        <v>1221</v>
      </c>
      <c r="E10" s="1012">
        <f>G10+I10+K10</f>
        <v>1379</v>
      </c>
      <c r="F10" s="1012"/>
      <c r="G10" s="1012"/>
      <c r="H10" s="1012">
        <f ca="1">'11.0시중노임'!$F$6</f>
        <v>68965</v>
      </c>
      <c r="I10" s="1012">
        <f>INT(C10*H10)</f>
        <v>1379</v>
      </c>
      <c r="J10" s="1010"/>
      <c r="K10" s="1013"/>
    </row>
    <row r="11" spans="1:14" s="1021" customFormat="1" ht="20.100000000000001" customHeight="1">
      <c r="A11" s="1017" t="s">
        <v>849</v>
      </c>
      <c r="B11" s="1018"/>
      <c r="C11" s="1018"/>
      <c r="D11" s="1018"/>
      <c r="E11" s="1019">
        <f>SUM(E6:E10)</f>
        <v>4365</v>
      </c>
      <c r="F11" s="1018"/>
      <c r="G11" s="1019">
        <f>SUM(G6:G10)</f>
        <v>2050</v>
      </c>
      <c r="H11" s="1018"/>
      <c r="I11" s="1019">
        <f>SUM(I6:I10)</f>
        <v>2315</v>
      </c>
      <c r="J11" s="1018"/>
      <c r="K11" s="1020"/>
    </row>
    <row r="12" spans="1:14" s="1014" customFormat="1" ht="20.100000000000001" customHeight="1">
      <c r="A12" s="1009"/>
      <c r="B12" s="1010"/>
      <c r="C12" s="1010"/>
      <c r="D12" s="1010"/>
      <c r="E12" s="1010"/>
      <c r="F12" s="1010"/>
      <c r="G12" s="1010"/>
      <c r="H12" s="1010"/>
      <c r="I12" s="1010"/>
      <c r="J12" s="1010"/>
      <c r="K12" s="1013"/>
    </row>
    <row r="13" spans="1:14" s="1008" customFormat="1" ht="20.100000000000001" customHeight="1">
      <c r="A13" s="1022" t="s">
        <v>2030</v>
      </c>
      <c r="B13" s="1010"/>
      <c r="C13" s="1010"/>
      <c r="D13" s="1010"/>
      <c r="E13" s="1010"/>
      <c r="F13" s="1010"/>
      <c r="G13" s="1010"/>
      <c r="H13" s="1010"/>
      <c r="I13" s="1010"/>
      <c r="J13" s="1010"/>
      <c r="K13" s="1013"/>
    </row>
    <row r="14" spans="1:14" s="1004" customFormat="1" ht="20.100000000000001" customHeight="1">
      <c r="A14" s="1023" t="s">
        <v>850</v>
      </c>
      <c r="B14" s="1024" t="s">
        <v>851</v>
      </c>
      <c r="C14" s="1025">
        <f ca="1">'3.0수량표'!I28</f>
        <v>63</v>
      </c>
      <c r="D14" s="1024" t="s">
        <v>831</v>
      </c>
      <c r="E14" s="1012">
        <f t="shared" ref="E14:E30" si="0">G14+I14+K14</f>
        <v>9450</v>
      </c>
      <c r="F14" s="1012">
        <f ca="1">'8.0자재단가'!$I$8</f>
        <v>150</v>
      </c>
      <c r="G14" s="1012">
        <f>INT(C14*F14)</f>
        <v>9450</v>
      </c>
      <c r="H14" s="1012"/>
      <c r="I14" s="1012"/>
      <c r="J14" s="1012"/>
      <c r="K14" s="1016"/>
    </row>
    <row r="15" spans="1:14" s="1001" customFormat="1" ht="20.100000000000001" customHeight="1">
      <c r="A15" s="1026" t="s">
        <v>33</v>
      </c>
      <c r="B15" s="1024" t="s">
        <v>832</v>
      </c>
      <c r="C15" s="1025">
        <f ca="1">'3.0수량표'!I29</f>
        <v>15.399999999999999</v>
      </c>
      <c r="D15" s="1024" t="s">
        <v>831</v>
      </c>
      <c r="E15" s="1012">
        <f t="shared" si="0"/>
        <v>2618</v>
      </c>
      <c r="F15" s="1012">
        <f ca="1">'8.0자재단가'!$I$9</f>
        <v>170</v>
      </c>
      <c r="G15" s="1012">
        <f>INT(C15*F15)</f>
        <v>2618</v>
      </c>
      <c r="H15" s="1012"/>
      <c r="I15" s="1012"/>
      <c r="J15" s="1012"/>
      <c r="K15" s="1016"/>
    </row>
    <row r="16" spans="1:14" s="1001" customFormat="1" ht="20.100000000000001" customHeight="1">
      <c r="A16" s="1023" t="s">
        <v>853</v>
      </c>
      <c r="B16" s="1027" t="s">
        <v>34</v>
      </c>
      <c r="C16" s="1025">
        <f ca="1">'3.0수량표'!I30</f>
        <v>2.8</v>
      </c>
      <c r="D16" s="1024" t="s">
        <v>859</v>
      </c>
      <c r="E16" s="1012">
        <f t="shared" si="0"/>
        <v>560</v>
      </c>
      <c r="F16" s="1012">
        <f ca="1">'8.0자재단가'!$I$10</f>
        <v>200</v>
      </c>
      <c r="G16" s="1012">
        <f>INT(C16*F16)</f>
        <v>560</v>
      </c>
      <c r="H16" s="1012"/>
      <c r="I16" s="1012"/>
      <c r="J16" s="1012"/>
      <c r="K16" s="1016"/>
      <c r="M16" s="1028"/>
      <c r="N16" s="1028"/>
    </row>
    <row r="17" spans="1:13" s="1001" customFormat="1" ht="20.100000000000001" customHeight="1">
      <c r="A17" s="1023" t="s">
        <v>854</v>
      </c>
      <c r="B17" s="1024" t="s">
        <v>35</v>
      </c>
      <c r="C17" s="1025">
        <f ca="1">'3.0수량표'!I31</f>
        <v>0.7</v>
      </c>
      <c r="D17" s="1024" t="s">
        <v>859</v>
      </c>
      <c r="E17" s="1012">
        <f t="shared" si="0"/>
        <v>700</v>
      </c>
      <c r="F17" s="1012">
        <f ca="1">'8.0자재단가'!$I$11</f>
        <v>1000</v>
      </c>
      <c r="G17" s="1012">
        <f>INT(C17*F17)</f>
        <v>700</v>
      </c>
      <c r="H17" s="1012"/>
      <c r="I17" s="1012"/>
      <c r="J17" s="1012"/>
      <c r="K17" s="1016"/>
    </row>
    <row r="18" spans="1:13" s="1001" customFormat="1" ht="20.100000000000001" customHeight="1">
      <c r="A18" s="1023" t="s">
        <v>856</v>
      </c>
      <c r="B18" s="1024" t="s">
        <v>36</v>
      </c>
      <c r="C18" s="1025">
        <f ca="1">'3.0수량표'!I32</f>
        <v>30</v>
      </c>
      <c r="D18" s="1024" t="s">
        <v>842</v>
      </c>
      <c r="E18" s="1012">
        <f t="shared" si="0"/>
        <v>2400</v>
      </c>
      <c r="F18" s="1012">
        <f ca="1">'8.0자재단가'!$I$14</f>
        <v>80</v>
      </c>
      <c r="G18" s="1012">
        <f>INT(C18*F18)</f>
        <v>2400</v>
      </c>
      <c r="H18" s="1012"/>
      <c r="I18" s="1012"/>
      <c r="J18" s="1012"/>
      <c r="K18" s="1016"/>
    </row>
    <row r="19" spans="1:13" s="1001" customFormat="1" ht="20.100000000000001" customHeight="1">
      <c r="A19" s="1023" t="s">
        <v>666</v>
      </c>
      <c r="B19" s="1024" t="s">
        <v>37</v>
      </c>
      <c r="C19" s="1025">
        <f ca="1">'3.0수량표'!I33</f>
        <v>2</v>
      </c>
      <c r="D19" s="1024" t="s">
        <v>861</v>
      </c>
      <c r="E19" s="1012">
        <f t="shared" si="0"/>
        <v>314</v>
      </c>
      <c r="F19" s="1012">
        <f>SUM(G14:G18)</f>
        <v>15728</v>
      </c>
      <c r="G19" s="1012">
        <f>INT(C19*F19/100)</f>
        <v>314</v>
      </c>
      <c r="H19" s="1012"/>
      <c r="I19" s="1012"/>
      <c r="J19" s="1012"/>
      <c r="K19" s="1016"/>
      <c r="M19" s="1029"/>
    </row>
    <row r="20" spans="1:13" s="1001" customFormat="1" ht="20.100000000000001" customHeight="1">
      <c r="A20" s="1030" t="s">
        <v>865</v>
      </c>
      <c r="B20" s="1024" t="s">
        <v>876</v>
      </c>
      <c r="C20" s="1031">
        <f ca="1">'3.0수량표'!I34</f>
        <v>0.04</v>
      </c>
      <c r="D20" s="1024" t="s">
        <v>843</v>
      </c>
      <c r="E20" s="1012">
        <f t="shared" si="0"/>
        <v>998</v>
      </c>
      <c r="F20" s="1012">
        <f ca="1">'9.0중기목록'!$F$6</f>
        <v>0</v>
      </c>
      <c r="G20" s="1012">
        <f t="shared" ref="G20:G25" si="1">INT(C20*F20)</f>
        <v>0</v>
      </c>
      <c r="H20" s="1012">
        <f ca="1">'9.0중기목록'!$E$6</f>
        <v>0</v>
      </c>
      <c r="I20" s="1012">
        <f t="shared" ref="I20:I29" si="2">INT(C20*H20)</f>
        <v>0</v>
      </c>
      <c r="J20" s="1012">
        <f ca="1">'9.0중기목록'!$G$6</f>
        <v>24973</v>
      </c>
      <c r="K20" s="1016">
        <f t="shared" ref="K20:K25" si="3">INT(C20*J20)</f>
        <v>998</v>
      </c>
    </row>
    <row r="21" spans="1:13" s="1001" customFormat="1" ht="20.100000000000001" customHeight="1">
      <c r="A21" s="1030" t="s">
        <v>835</v>
      </c>
      <c r="B21" s="1024" t="s">
        <v>844</v>
      </c>
      <c r="C21" s="1031">
        <f ca="1">'3.0수량표'!I35</f>
        <v>0.04</v>
      </c>
      <c r="D21" s="1024" t="s">
        <v>843</v>
      </c>
      <c r="E21" s="1012">
        <f t="shared" si="0"/>
        <v>2191</v>
      </c>
      <c r="F21" s="1012">
        <f ca="1">'9.0중기목록'!$F$8</f>
        <v>29577</v>
      </c>
      <c r="G21" s="1012">
        <f t="shared" si="1"/>
        <v>1183</v>
      </c>
      <c r="H21" s="1012">
        <f ca="1">'9.0중기목록'!$E$8</f>
        <v>20561</v>
      </c>
      <c r="I21" s="1012">
        <f t="shared" si="2"/>
        <v>822</v>
      </c>
      <c r="J21" s="1012">
        <f ca="1">'9.0중기목록'!$G$8</f>
        <v>4656</v>
      </c>
      <c r="K21" s="1016">
        <f t="shared" si="3"/>
        <v>186</v>
      </c>
    </row>
    <row r="22" spans="1:13" s="1001" customFormat="1" ht="20.100000000000001" customHeight="1">
      <c r="A22" s="1030" t="s">
        <v>38</v>
      </c>
      <c r="B22" s="1024" t="s">
        <v>39</v>
      </c>
      <c r="C22" s="1031">
        <f ca="1">'3.0수량표'!I36</f>
        <v>0.04</v>
      </c>
      <c r="D22" s="1024" t="s">
        <v>843</v>
      </c>
      <c r="E22" s="1012">
        <f t="shared" si="0"/>
        <v>1713</v>
      </c>
      <c r="F22" s="1012">
        <f ca="1">'9.0중기목록'!$F$10</f>
        <v>23409</v>
      </c>
      <c r="G22" s="1012">
        <f t="shared" si="1"/>
        <v>936</v>
      </c>
      <c r="H22" s="1012">
        <f ca="1">'9.0중기목록'!$E$10</f>
        <v>14915</v>
      </c>
      <c r="I22" s="1012">
        <f t="shared" si="2"/>
        <v>596</v>
      </c>
      <c r="J22" s="1012">
        <f ca="1">'9.0중기목록'!$G$10</f>
        <v>4533</v>
      </c>
      <c r="K22" s="1016">
        <f t="shared" si="3"/>
        <v>181</v>
      </c>
    </row>
    <row r="23" spans="1:13" s="1001" customFormat="1" ht="20.100000000000001" customHeight="1">
      <c r="A23" s="1032" t="s">
        <v>864</v>
      </c>
      <c r="B23" s="1024" t="s">
        <v>868</v>
      </c>
      <c r="C23" s="1031">
        <f ca="1">'3.0수량표'!I37</f>
        <v>0.05</v>
      </c>
      <c r="D23" s="1024" t="s">
        <v>843</v>
      </c>
      <c r="E23" s="1012">
        <f t="shared" si="0"/>
        <v>1734</v>
      </c>
      <c r="F23" s="1012">
        <f ca="1">'9.0중기목록'!$F$12</f>
        <v>6640</v>
      </c>
      <c r="G23" s="1012">
        <f t="shared" si="1"/>
        <v>332</v>
      </c>
      <c r="H23" s="1012">
        <f ca="1">'9.0중기목록'!$E$12</f>
        <v>17696</v>
      </c>
      <c r="I23" s="1012">
        <f t="shared" si="2"/>
        <v>884</v>
      </c>
      <c r="J23" s="1012">
        <f ca="1">'9.0중기목록'!$G$12</f>
        <v>10362</v>
      </c>
      <c r="K23" s="1016">
        <f t="shared" si="3"/>
        <v>518</v>
      </c>
    </row>
    <row r="24" spans="1:13" s="1001" customFormat="1" ht="20.100000000000001" customHeight="1">
      <c r="A24" s="1023" t="s">
        <v>2220</v>
      </c>
      <c r="B24" s="1024" t="s">
        <v>847</v>
      </c>
      <c r="C24" s="1031">
        <f ca="1">'3.0수량표'!I38</f>
        <v>0.04</v>
      </c>
      <c r="D24" s="1024" t="s">
        <v>843</v>
      </c>
      <c r="E24" s="1012">
        <f t="shared" si="0"/>
        <v>1543</v>
      </c>
      <c r="F24" s="1012">
        <f ca="1">'9.0중기목록'!$F$14</f>
        <v>13117</v>
      </c>
      <c r="G24" s="1012">
        <f t="shared" si="1"/>
        <v>524</v>
      </c>
      <c r="H24" s="1012">
        <f ca="1">'9.0중기목록'!$E$14</f>
        <v>17696</v>
      </c>
      <c r="I24" s="1012">
        <f t="shared" si="2"/>
        <v>707</v>
      </c>
      <c r="J24" s="1012">
        <f ca="1">'9.0중기목록'!$G$14</f>
        <v>7823</v>
      </c>
      <c r="K24" s="1016">
        <f t="shared" si="3"/>
        <v>312</v>
      </c>
    </row>
    <row r="25" spans="1:13" s="1001" customFormat="1" ht="20.100000000000001" customHeight="1">
      <c r="A25" s="1030" t="s">
        <v>836</v>
      </c>
      <c r="B25" s="1024" t="s">
        <v>40</v>
      </c>
      <c r="C25" s="1031">
        <f ca="1">'3.0수량표'!I39</f>
        <v>0.04</v>
      </c>
      <c r="D25" s="1024" t="s">
        <v>843</v>
      </c>
      <c r="E25" s="1012">
        <f t="shared" si="0"/>
        <v>1430</v>
      </c>
      <c r="F25" s="1012">
        <f ca="1">'9.0중기목록'!$F$16</f>
        <v>11978</v>
      </c>
      <c r="G25" s="1012">
        <f t="shared" si="1"/>
        <v>479</v>
      </c>
      <c r="H25" s="1012">
        <f ca="1">'9.0중기목록'!$E$16</f>
        <v>17696</v>
      </c>
      <c r="I25" s="1012">
        <f t="shared" si="2"/>
        <v>707</v>
      </c>
      <c r="J25" s="1012">
        <f ca="1">'9.0중기목록'!$G$16</f>
        <v>6117</v>
      </c>
      <c r="K25" s="1016">
        <f t="shared" si="3"/>
        <v>244</v>
      </c>
      <c r="M25" s="1029"/>
    </row>
    <row r="26" spans="1:13" s="1001" customFormat="1" ht="20.100000000000001" customHeight="1">
      <c r="A26" s="1023" t="s">
        <v>837</v>
      </c>
      <c r="B26" s="1024"/>
      <c r="C26" s="1031">
        <f ca="1">'3.0수량표'!I40</f>
        <v>6.0000000000000001E-3</v>
      </c>
      <c r="D26" s="1024" t="s">
        <v>1221</v>
      </c>
      <c r="E26" s="1012">
        <f t="shared" si="0"/>
        <v>553</v>
      </c>
      <c r="F26" s="1012"/>
      <c r="G26" s="1012"/>
      <c r="H26" s="1012">
        <f ca="1">'11.0시중노임'!$F$4</f>
        <v>92218</v>
      </c>
      <c r="I26" s="1012">
        <f t="shared" si="2"/>
        <v>553</v>
      </c>
      <c r="J26" s="1012"/>
      <c r="K26" s="1016"/>
    </row>
    <row r="27" spans="1:13" s="1001" customFormat="1" ht="20.100000000000001" customHeight="1">
      <c r="A27" s="1023" t="s">
        <v>1422</v>
      </c>
      <c r="B27" s="1024"/>
      <c r="C27" s="1031">
        <f ca="1">'3.0수량표'!I41</f>
        <v>2.7E-2</v>
      </c>
      <c r="D27" s="1024" t="s">
        <v>1221</v>
      </c>
      <c r="E27" s="1012">
        <f t="shared" si="0"/>
        <v>2278</v>
      </c>
      <c r="F27" s="1012"/>
      <c r="G27" s="1012"/>
      <c r="H27" s="1012">
        <f ca="1">'11.0시중노임'!$F$5</f>
        <v>84404</v>
      </c>
      <c r="I27" s="1012">
        <f t="shared" si="2"/>
        <v>2278</v>
      </c>
      <c r="J27" s="1012"/>
      <c r="K27" s="1016"/>
    </row>
    <row r="28" spans="1:13" s="1001" customFormat="1" ht="20.100000000000001" customHeight="1">
      <c r="A28" s="1023" t="s">
        <v>848</v>
      </c>
      <c r="B28" s="1024"/>
      <c r="C28" s="1031">
        <f ca="1">'3.0수량표'!I42</f>
        <v>6.0000000000000001E-3</v>
      </c>
      <c r="D28" s="1024" t="s">
        <v>1221</v>
      </c>
      <c r="E28" s="1012">
        <f t="shared" si="0"/>
        <v>519</v>
      </c>
      <c r="F28" s="1012"/>
      <c r="G28" s="1012"/>
      <c r="H28" s="1012">
        <f ca="1">'11.0시중노임'!$F$12</f>
        <v>86521</v>
      </c>
      <c r="I28" s="1012">
        <f t="shared" si="2"/>
        <v>519</v>
      </c>
      <c r="J28" s="1012"/>
      <c r="K28" s="1016"/>
    </row>
    <row r="29" spans="1:13" s="1001" customFormat="1" ht="20.100000000000001" customHeight="1">
      <c r="A29" s="1023" t="s">
        <v>839</v>
      </c>
      <c r="B29" s="1024"/>
      <c r="C29" s="1031">
        <f ca="1">'3.0수량표'!I43</f>
        <v>5.1999999999999998E-2</v>
      </c>
      <c r="D29" s="1024" t="s">
        <v>1221</v>
      </c>
      <c r="E29" s="1012">
        <f t="shared" si="0"/>
        <v>3586</v>
      </c>
      <c r="F29" s="1012"/>
      <c r="G29" s="1012"/>
      <c r="H29" s="1012">
        <f ca="1">'11.0시중노임'!$F$6</f>
        <v>68965</v>
      </c>
      <c r="I29" s="1012">
        <f t="shared" si="2"/>
        <v>3586</v>
      </c>
      <c r="J29" s="1012"/>
      <c r="K29" s="1016"/>
      <c r="M29" s="1029"/>
    </row>
    <row r="30" spans="1:13" s="1001" customFormat="1" ht="20.100000000000001" customHeight="1">
      <c r="A30" s="1023" t="s">
        <v>840</v>
      </c>
      <c r="B30" s="1024" t="s">
        <v>980</v>
      </c>
      <c r="C30" s="1025">
        <f ca="1">'3.0수량표'!D44</f>
        <v>2</v>
      </c>
      <c r="D30" s="1024" t="s">
        <v>861</v>
      </c>
      <c r="E30" s="1012">
        <f t="shared" si="0"/>
        <v>138</v>
      </c>
      <c r="F30" s="1012"/>
      <c r="G30" s="1012"/>
      <c r="H30" s="1012"/>
      <c r="I30" s="1012"/>
      <c r="J30" s="1012">
        <f>SUM(I26:I29)</f>
        <v>6936</v>
      </c>
      <c r="K30" s="1016">
        <f>INT(C30*J30/100)</f>
        <v>138</v>
      </c>
    </row>
    <row r="31" spans="1:13" s="1001" customFormat="1" ht="20.100000000000001" customHeight="1">
      <c r="A31" s="1023"/>
      <c r="B31" s="1024"/>
      <c r="C31" s="1025"/>
      <c r="D31" s="1024"/>
      <c r="E31" s="1012"/>
      <c r="F31" s="1012"/>
      <c r="G31" s="1012"/>
      <c r="H31" s="1012"/>
      <c r="I31" s="1012"/>
      <c r="J31" s="1012"/>
      <c r="K31" s="1016"/>
    </row>
    <row r="32" spans="1:13" s="1001" customFormat="1" ht="20.100000000000001" customHeight="1">
      <c r="A32" s="1023"/>
      <c r="B32" s="1024"/>
      <c r="C32" s="1031"/>
      <c r="D32" s="1024"/>
      <c r="E32" s="1012"/>
      <c r="F32" s="1012"/>
      <c r="G32" s="1012"/>
      <c r="H32" s="1012"/>
      <c r="I32" s="1012"/>
      <c r="J32" s="1012"/>
      <c r="K32" s="1016"/>
    </row>
    <row r="33" spans="1:11" s="1037" customFormat="1" ht="20.100000000000001" customHeight="1">
      <c r="A33" s="1017" t="s">
        <v>849</v>
      </c>
      <c r="B33" s="1033"/>
      <c r="C33" s="1034"/>
      <c r="D33" s="1033"/>
      <c r="E33" s="1035">
        <f>G33+I33+K33</f>
        <v>32725</v>
      </c>
      <c r="F33" s="1035"/>
      <c r="G33" s="1035">
        <f>SUM(G14:G32)</f>
        <v>19496</v>
      </c>
      <c r="H33" s="1035"/>
      <c r="I33" s="1035">
        <f>SUM(I14:I32)</f>
        <v>10652</v>
      </c>
      <c r="J33" s="1035"/>
      <c r="K33" s="1036">
        <f>SUM(K14:K32)</f>
        <v>2577</v>
      </c>
    </row>
    <row r="34" spans="1:11" s="1001" customFormat="1" ht="20.100000000000001" customHeight="1">
      <c r="A34" s="1038"/>
      <c r="B34" s="1039" t="s">
        <v>981</v>
      </c>
      <c r="C34" s="1039"/>
      <c r="D34" s="1040"/>
      <c r="E34" s="1012"/>
      <c r="F34" s="1039"/>
      <c r="G34" s="1039"/>
      <c r="H34" s="1039"/>
      <c r="I34" s="1039"/>
      <c r="J34" s="1039"/>
      <c r="K34" s="1041"/>
    </row>
    <row r="35" spans="1:11" s="1037" customFormat="1" ht="20.100000000000001" customHeight="1">
      <c r="A35" s="1042" t="s">
        <v>886</v>
      </c>
      <c r="B35" s="1043"/>
      <c r="C35" s="1043"/>
      <c r="D35" s="1044"/>
      <c r="E35" s="1045">
        <f>E33+E11</f>
        <v>37090</v>
      </c>
      <c r="F35" s="1045"/>
      <c r="G35" s="1045">
        <f>G33+G11</f>
        <v>21546</v>
      </c>
      <c r="H35" s="1045"/>
      <c r="I35" s="1045">
        <f>I33+I11</f>
        <v>12967</v>
      </c>
      <c r="J35" s="1045"/>
      <c r="K35" s="1046">
        <f>K33+K11</f>
        <v>2577</v>
      </c>
    </row>
  </sheetData>
  <mergeCells count="9">
    <mergeCell ref="J3:K3"/>
    <mergeCell ref="E3:E4"/>
    <mergeCell ref="A1:K1"/>
    <mergeCell ref="A3:A4"/>
    <mergeCell ref="B3:B4"/>
    <mergeCell ref="C3:C4"/>
    <mergeCell ref="D3:D4"/>
    <mergeCell ref="F3:G3"/>
    <mergeCell ref="H3:I3"/>
  </mergeCells>
  <phoneticPr fontId="3" type="noConversion"/>
  <printOptions horizontalCentered="1"/>
  <pageMargins left="0.74803149606299213" right="0.6692913385826772" top="0.78740157480314965" bottom="0.78740157480314965" header="0.51181102362204722" footer="0.39370078740157483"/>
  <pageSetup paperSize="9" orientation="portrait" horizontalDpi="4294967295" verticalDpi="300" r:id="rId1"/>
  <headerFooter alignWithMargins="0">
    <oddFooter xml:space="preserve">&amp;R&amp;10
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P47"/>
  <sheetViews>
    <sheetView zoomScaleSheetLayoutView="90" workbookViewId="0">
      <selection sqref="A1:IV65536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11" width="6.33203125" style="908" customWidth="1"/>
    <col min="12" max="14" width="8.88671875" style="963"/>
    <col min="15" max="16384" width="8.88671875" style="908"/>
  </cols>
  <sheetData>
    <row r="1" spans="1:14" ht="24.95" customHeight="1">
      <c r="A1" s="1669" t="s">
        <v>1388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977</v>
      </c>
      <c r="L2" s="964"/>
      <c r="M2" s="964"/>
      <c r="N2" s="964"/>
    </row>
    <row r="3" spans="1:14" s="928" customFormat="1" ht="20.100000000000001" customHeight="1">
      <c r="A3" s="1689" t="s">
        <v>285</v>
      </c>
      <c r="B3" s="1670" t="s">
        <v>286</v>
      </c>
      <c r="C3" s="1670" t="s">
        <v>1115</v>
      </c>
      <c r="D3" s="1670" t="s">
        <v>288</v>
      </c>
      <c r="E3" s="1672" t="s">
        <v>828</v>
      </c>
      <c r="F3" s="1670" t="s">
        <v>289</v>
      </c>
      <c r="G3" s="1670"/>
      <c r="H3" s="1670" t="s">
        <v>826</v>
      </c>
      <c r="I3" s="1670"/>
      <c r="J3" s="1670" t="s">
        <v>827</v>
      </c>
      <c r="K3" s="1674"/>
      <c r="L3" s="964"/>
      <c r="M3" s="964"/>
      <c r="N3" s="964"/>
    </row>
    <row r="4" spans="1:14" s="931" customFormat="1" ht="20.100000000000001" customHeight="1">
      <c r="A4" s="1690"/>
      <c r="B4" s="1671"/>
      <c r="C4" s="1671"/>
      <c r="D4" s="1671"/>
      <c r="E4" s="1673"/>
      <c r="F4" s="929" t="s">
        <v>1405</v>
      </c>
      <c r="G4" s="929" t="s">
        <v>830</v>
      </c>
      <c r="H4" s="929" t="s">
        <v>1405</v>
      </c>
      <c r="I4" s="929" t="s">
        <v>830</v>
      </c>
      <c r="J4" s="929" t="s">
        <v>1405</v>
      </c>
      <c r="K4" s="930" t="s">
        <v>830</v>
      </c>
      <c r="L4" s="965"/>
      <c r="M4" s="965"/>
      <c r="N4" s="965"/>
    </row>
    <row r="5" spans="1:14" s="969" customFormat="1" ht="15" customHeight="1">
      <c r="A5" s="966" t="s">
        <v>1025</v>
      </c>
      <c r="B5" s="967"/>
      <c r="C5" s="967"/>
      <c r="D5" s="967"/>
      <c r="E5" s="967"/>
      <c r="F5" s="967"/>
      <c r="G5" s="967"/>
      <c r="H5" s="967"/>
      <c r="I5" s="967"/>
      <c r="J5" s="967"/>
      <c r="K5" s="968"/>
    </row>
    <row r="6" spans="1:14" s="969" customFormat="1" ht="15" customHeight="1">
      <c r="A6" s="942" t="s">
        <v>1008</v>
      </c>
      <c r="B6" s="970" t="s">
        <v>29</v>
      </c>
      <c r="C6" s="945">
        <f ca="1">'3.0수량표'!H5</f>
        <v>1.9E-2</v>
      </c>
      <c r="D6" s="573" t="s">
        <v>843</v>
      </c>
      <c r="E6" s="937">
        <f>G6+I6+K6</f>
        <v>813</v>
      </c>
      <c r="F6" s="937">
        <f ca="1">'9.0중기목록'!$F$10</f>
        <v>23409</v>
      </c>
      <c r="G6" s="937">
        <f ca="1">INT(C6*F6)</f>
        <v>444</v>
      </c>
      <c r="H6" s="937">
        <f ca="1">'9.0중기목록'!$E$10</f>
        <v>14915</v>
      </c>
      <c r="I6" s="937">
        <f ca="1">INT(C6*H6)</f>
        <v>283</v>
      </c>
      <c r="J6" s="937">
        <f ca="1">'9.0중기목록'!$G$10</f>
        <v>4533</v>
      </c>
      <c r="K6" s="938">
        <f>INT(C6*J6)</f>
        <v>86</v>
      </c>
    </row>
    <row r="7" spans="1:14" s="969" customFormat="1" ht="15" customHeight="1">
      <c r="A7" s="942" t="s">
        <v>1010</v>
      </c>
      <c r="B7" s="970"/>
      <c r="C7" s="945">
        <f ca="1">'3.0수량표'!H6</f>
        <v>1.2E-2</v>
      </c>
      <c r="D7" s="967" t="s">
        <v>1221</v>
      </c>
      <c r="E7" s="937">
        <f>G7+I7+K7</f>
        <v>954</v>
      </c>
      <c r="F7" s="937"/>
      <c r="G7" s="937"/>
      <c r="H7" s="937">
        <f ca="1">'11.0시중노임'!$F$3</f>
        <v>79533</v>
      </c>
      <c r="I7" s="937">
        <f>INT(C7*H7)</f>
        <v>954</v>
      </c>
      <c r="J7" s="967"/>
      <c r="K7" s="968"/>
    </row>
    <row r="8" spans="1:14" s="969" customFormat="1" ht="15" customHeight="1">
      <c r="A8" s="942" t="s">
        <v>1011</v>
      </c>
      <c r="B8" s="970"/>
      <c r="C8" s="945">
        <f ca="1">'3.0수량표'!H7</f>
        <v>1.2E-2</v>
      </c>
      <c r="D8" s="967" t="s">
        <v>1221</v>
      </c>
      <c r="E8" s="937">
        <f>G8+I8+K8</f>
        <v>827</v>
      </c>
      <c r="F8" s="937"/>
      <c r="G8" s="937"/>
      <c r="H8" s="937">
        <f ca="1">'11.0시중노임'!$F$6</f>
        <v>68965</v>
      </c>
      <c r="I8" s="937">
        <f>INT(C8*H8)</f>
        <v>827</v>
      </c>
      <c r="J8" s="967"/>
      <c r="K8" s="968"/>
    </row>
    <row r="9" spans="1:14" s="969" customFormat="1" ht="15" customHeight="1">
      <c r="A9" s="943" t="s">
        <v>30</v>
      </c>
      <c r="B9" s="573" t="s">
        <v>980</v>
      </c>
      <c r="C9" s="945">
        <f ca="1">'3.0수량표'!H8</f>
        <v>2.5</v>
      </c>
      <c r="D9" s="573" t="s">
        <v>861</v>
      </c>
      <c r="E9" s="937">
        <f>G9+I9+K9</f>
        <v>51</v>
      </c>
      <c r="F9" s="937"/>
      <c r="G9" s="937"/>
      <c r="H9" s="937"/>
      <c r="I9" s="937"/>
      <c r="J9" s="937">
        <f>SUM(I6:I8)</f>
        <v>2064</v>
      </c>
      <c r="K9" s="938">
        <f>INT(C9*J9/100)</f>
        <v>51</v>
      </c>
    </row>
    <row r="10" spans="1:14" s="976" customFormat="1" ht="15" customHeight="1">
      <c r="A10" s="971" t="s">
        <v>849</v>
      </c>
      <c r="B10" s="972"/>
      <c r="C10" s="972"/>
      <c r="D10" s="972"/>
      <c r="E10" s="973">
        <f>G10+I10+K10</f>
        <v>2645</v>
      </c>
      <c r="F10" s="972"/>
      <c r="G10" s="974">
        <f>SUM(G6:G9)</f>
        <v>444</v>
      </c>
      <c r="H10" s="972"/>
      <c r="I10" s="974">
        <f>SUM(I6:I9)</f>
        <v>2064</v>
      </c>
      <c r="J10" s="972"/>
      <c r="K10" s="975">
        <f>SUM(K6:K9)</f>
        <v>137</v>
      </c>
    </row>
    <row r="11" spans="1:14" s="969" customFormat="1" ht="15" customHeight="1">
      <c r="A11" s="966" t="s">
        <v>1026</v>
      </c>
      <c r="B11" s="967"/>
      <c r="C11" s="967"/>
      <c r="D11" s="967"/>
      <c r="E11" s="967"/>
      <c r="F11" s="967"/>
      <c r="G11" s="967"/>
      <c r="H11" s="967"/>
      <c r="I11" s="967"/>
      <c r="J11" s="967"/>
      <c r="K11" s="968"/>
    </row>
    <row r="12" spans="1:14" s="969" customFormat="1" ht="15" customHeight="1">
      <c r="A12" s="942" t="s">
        <v>872</v>
      </c>
      <c r="B12" s="967" t="s">
        <v>1081</v>
      </c>
      <c r="C12" s="967">
        <f ca="1">'3.0수량표'!H10</f>
        <v>0.23</v>
      </c>
      <c r="D12" s="967" t="s">
        <v>1167</v>
      </c>
      <c r="E12" s="937">
        <f>G12+I12+K12</f>
        <v>207</v>
      </c>
      <c r="F12" s="937">
        <f ca="1">'8.0자재단가'!$I$17</f>
        <v>900</v>
      </c>
      <c r="G12" s="937">
        <f>INT(C12*F12)</f>
        <v>207</v>
      </c>
      <c r="H12" s="967"/>
      <c r="I12" s="967"/>
      <c r="J12" s="967"/>
      <c r="K12" s="968"/>
    </row>
    <row r="13" spans="1:14" s="969" customFormat="1" ht="15" customHeight="1">
      <c r="A13" s="942" t="s">
        <v>887</v>
      </c>
      <c r="B13" s="967" t="s">
        <v>31</v>
      </c>
      <c r="C13" s="967">
        <f ca="1">'3.0수량표'!H11</f>
        <v>0.5</v>
      </c>
      <c r="D13" s="967" t="s">
        <v>1167</v>
      </c>
      <c r="E13" s="937">
        <f>G13+I13+K13</f>
        <v>250</v>
      </c>
      <c r="F13" s="937">
        <f ca="1">'8.0자재단가'!I16</f>
        <v>500</v>
      </c>
      <c r="G13" s="937">
        <f>INT(C13*F13)</f>
        <v>250</v>
      </c>
      <c r="H13" s="967"/>
      <c r="I13" s="967"/>
      <c r="J13" s="967"/>
      <c r="K13" s="968"/>
    </row>
    <row r="14" spans="1:14" s="969" customFormat="1" ht="15" customHeight="1">
      <c r="A14" s="942" t="s">
        <v>1422</v>
      </c>
      <c r="B14" s="967"/>
      <c r="C14" s="967">
        <f ca="1">'3.0수량표'!H12</f>
        <v>6.0000000000000001E-3</v>
      </c>
      <c r="D14" s="967" t="s">
        <v>1221</v>
      </c>
      <c r="E14" s="937">
        <f>G14+I14+K14</f>
        <v>506</v>
      </c>
      <c r="F14" s="937"/>
      <c r="G14" s="937"/>
      <c r="H14" s="937">
        <f ca="1">'11.0시중노임'!$F$5</f>
        <v>84404</v>
      </c>
      <c r="I14" s="937">
        <f>INT(C14*H14)</f>
        <v>506</v>
      </c>
      <c r="J14" s="967"/>
      <c r="K14" s="968"/>
    </row>
    <row r="15" spans="1:14" s="969" customFormat="1" ht="15" customHeight="1">
      <c r="A15" s="942" t="s">
        <v>839</v>
      </c>
      <c r="B15" s="967"/>
      <c r="C15" s="967">
        <f ca="1">'3.0수량표'!H13</f>
        <v>6.0000000000000001E-3</v>
      </c>
      <c r="D15" s="967" t="s">
        <v>1221</v>
      </c>
      <c r="E15" s="937">
        <f>G15+I15+K15</f>
        <v>413</v>
      </c>
      <c r="F15" s="937"/>
      <c r="G15" s="937"/>
      <c r="H15" s="937">
        <f ca="1">'11.0시중노임'!$F$6</f>
        <v>68965</v>
      </c>
      <c r="I15" s="937">
        <f>INT(C15*H15)</f>
        <v>413</v>
      </c>
      <c r="J15" s="967"/>
      <c r="K15" s="968"/>
    </row>
    <row r="16" spans="1:14" s="969" customFormat="1" ht="15" customHeight="1">
      <c r="A16" s="971" t="s">
        <v>849</v>
      </c>
      <c r="B16" s="972"/>
      <c r="C16" s="972"/>
      <c r="D16" s="972"/>
      <c r="E16" s="973">
        <f>G16+I16+K16</f>
        <v>1376</v>
      </c>
      <c r="F16" s="972"/>
      <c r="G16" s="974">
        <f>SUM(G11:G15)</f>
        <v>457</v>
      </c>
      <c r="H16" s="972"/>
      <c r="I16" s="974">
        <f>SUM(I11:I15)</f>
        <v>919</v>
      </c>
      <c r="J16" s="972"/>
      <c r="K16" s="968"/>
    </row>
    <row r="17" spans="1:14" s="965" customFormat="1" ht="15" customHeight="1">
      <c r="A17" s="966" t="s">
        <v>888</v>
      </c>
      <c r="B17" s="967"/>
      <c r="C17" s="967"/>
      <c r="D17" s="967"/>
      <c r="E17" s="967"/>
      <c r="F17" s="967"/>
      <c r="G17" s="967"/>
      <c r="H17" s="967"/>
      <c r="I17" s="967"/>
      <c r="J17" s="967"/>
      <c r="K17" s="968"/>
    </row>
    <row r="18" spans="1:14" s="969" customFormat="1" ht="15" customHeight="1">
      <c r="A18" s="942" t="s">
        <v>1422</v>
      </c>
      <c r="B18" s="967"/>
      <c r="C18" s="980">
        <f ca="1">'3.0수량표'!H21</f>
        <v>0</v>
      </c>
      <c r="D18" s="967" t="s">
        <v>1221</v>
      </c>
      <c r="E18" s="937">
        <f t="shared" ref="E18:E23" si="0">G18+I18+K18</f>
        <v>0</v>
      </c>
      <c r="F18" s="937"/>
      <c r="G18" s="937"/>
      <c r="H18" s="937">
        <f ca="1">'11.0시중노임'!$F$5</f>
        <v>84404</v>
      </c>
      <c r="I18" s="937">
        <f>INT(C18*H18)</f>
        <v>0</v>
      </c>
      <c r="J18" s="967"/>
      <c r="K18" s="968"/>
    </row>
    <row r="19" spans="1:14" s="969" customFormat="1" ht="15" customHeight="1">
      <c r="A19" s="942" t="s">
        <v>1015</v>
      </c>
      <c r="B19" s="977" t="s">
        <v>1426</v>
      </c>
      <c r="C19" s="978">
        <f ca="1">'3.0수량표'!H22</f>
        <v>1.3</v>
      </c>
      <c r="D19" s="970" t="s">
        <v>1016</v>
      </c>
      <c r="E19" s="937">
        <f t="shared" si="0"/>
        <v>2873</v>
      </c>
      <c r="F19" s="979">
        <f ca="1">'8.0자재단가'!$I$19</f>
        <v>2210</v>
      </c>
      <c r="G19" s="937">
        <f>INT(C19*F19)</f>
        <v>2873</v>
      </c>
      <c r="H19" s="967"/>
      <c r="I19" s="967"/>
      <c r="J19" s="967"/>
      <c r="K19" s="968"/>
    </row>
    <row r="20" spans="1:14" s="969" customFormat="1" ht="15" customHeight="1">
      <c r="A20" s="942" t="s">
        <v>1428</v>
      </c>
      <c r="B20" s="967" t="s">
        <v>32</v>
      </c>
      <c r="C20" s="978">
        <f ca="1">'3.0수량표'!H23</f>
        <v>1.3</v>
      </c>
      <c r="D20" s="970" t="s">
        <v>1019</v>
      </c>
      <c r="E20" s="937">
        <f t="shared" si="0"/>
        <v>195</v>
      </c>
      <c r="F20" s="979">
        <f ca="1">'8.0자재단가'!$I$20</f>
        <v>150</v>
      </c>
      <c r="G20" s="937">
        <f>INT(C20*F20)</f>
        <v>195</v>
      </c>
      <c r="H20" s="967"/>
      <c r="I20" s="967"/>
      <c r="J20" s="967"/>
      <c r="K20" s="968"/>
    </row>
    <row r="21" spans="1:14" s="969" customFormat="1" ht="15" customHeight="1">
      <c r="A21" s="942" t="s">
        <v>837</v>
      </c>
      <c r="B21" s="967"/>
      <c r="C21" s="980">
        <f ca="1">'3.0수량표'!H24</f>
        <v>5.0000000000000001E-3</v>
      </c>
      <c r="D21" s="967" t="s">
        <v>1221</v>
      </c>
      <c r="E21" s="937">
        <f t="shared" si="0"/>
        <v>461</v>
      </c>
      <c r="F21" s="937"/>
      <c r="G21" s="937"/>
      <c r="H21" s="937">
        <f ca="1">'11.0시중노임'!$F$4</f>
        <v>92218</v>
      </c>
      <c r="I21" s="937">
        <f>INT(C21*H21)</f>
        <v>461</v>
      </c>
      <c r="J21" s="937"/>
      <c r="K21" s="938"/>
    </row>
    <row r="22" spans="1:14" s="969" customFormat="1" ht="15" customHeight="1">
      <c r="A22" s="942" t="s">
        <v>1422</v>
      </c>
      <c r="B22" s="967"/>
      <c r="C22" s="980">
        <f ca="1">'3.0수량표'!H25</f>
        <v>0.02</v>
      </c>
      <c r="D22" s="967" t="s">
        <v>1221</v>
      </c>
      <c r="E22" s="937">
        <f t="shared" si="0"/>
        <v>1688</v>
      </c>
      <c r="F22" s="937"/>
      <c r="G22" s="937"/>
      <c r="H22" s="937">
        <f ca="1">'11.0시중노임'!$F$5</f>
        <v>84404</v>
      </c>
      <c r="I22" s="937">
        <f>INT(C22*H22)</f>
        <v>1688</v>
      </c>
      <c r="J22" s="967"/>
      <c r="K22" s="968"/>
    </row>
    <row r="23" spans="1:14" s="969" customFormat="1" ht="15" customHeight="1">
      <c r="A23" s="942" t="s">
        <v>839</v>
      </c>
      <c r="B23" s="967"/>
      <c r="C23" s="980">
        <f ca="1">'3.0수량표'!H26</f>
        <v>0.02</v>
      </c>
      <c r="D23" s="967" t="s">
        <v>1221</v>
      </c>
      <c r="E23" s="937">
        <f t="shared" si="0"/>
        <v>1379</v>
      </c>
      <c r="F23" s="937"/>
      <c r="G23" s="937"/>
      <c r="H23" s="937">
        <f ca="1">'11.0시중노임'!$F$6</f>
        <v>68965</v>
      </c>
      <c r="I23" s="937">
        <f>INT(C23*H23)</f>
        <v>1379</v>
      </c>
      <c r="J23" s="967"/>
      <c r="K23" s="968"/>
    </row>
    <row r="24" spans="1:14" s="976" customFormat="1" ht="15" customHeight="1">
      <c r="A24" s="971" t="s">
        <v>849</v>
      </c>
      <c r="B24" s="972"/>
      <c r="C24" s="972"/>
      <c r="D24" s="972"/>
      <c r="E24" s="974">
        <f>SUM(E19:E23)</f>
        <v>6596</v>
      </c>
      <c r="F24" s="972"/>
      <c r="G24" s="974">
        <f>SUM(G19:G23)</f>
        <v>3068</v>
      </c>
      <c r="H24" s="972"/>
      <c r="I24" s="974">
        <f>SUM(I19:I23)</f>
        <v>3528</v>
      </c>
      <c r="J24" s="972"/>
      <c r="K24" s="981"/>
    </row>
    <row r="25" spans="1:14" s="965" customFormat="1" ht="15" customHeight="1">
      <c r="A25" s="966" t="s">
        <v>890</v>
      </c>
      <c r="B25" s="967"/>
      <c r="C25" s="967"/>
      <c r="D25" s="967"/>
      <c r="E25" s="967"/>
      <c r="F25" s="967"/>
      <c r="G25" s="967"/>
      <c r="H25" s="967"/>
      <c r="I25" s="967"/>
      <c r="J25" s="967"/>
      <c r="K25" s="968"/>
    </row>
    <row r="26" spans="1:14" s="931" customFormat="1" ht="15" customHeight="1">
      <c r="A26" s="576" t="s">
        <v>850</v>
      </c>
      <c r="B26" s="573" t="s">
        <v>851</v>
      </c>
      <c r="C26" s="992">
        <f ca="1">'3.0수량표'!H28</f>
        <v>45</v>
      </c>
      <c r="D26" s="573" t="s">
        <v>831</v>
      </c>
      <c r="E26" s="937">
        <f t="shared" ref="E26:E43" si="1">G26+I26+K26</f>
        <v>6750</v>
      </c>
      <c r="F26" s="937">
        <f ca="1">'8.0자재단가'!$I$8</f>
        <v>150</v>
      </c>
      <c r="G26" s="937">
        <f>INT(C26*F26)</f>
        <v>6750</v>
      </c>
      <c r="H26" s="937"/>
      <c r="I26" s="937"/>
      <c r="J26" s="937"/>
      <c r="K26" s="938"/>
      <c r="L26" s="965"/>
      <c r="M26" s="965"/>
      <c r="N26" s="965"/>
    </row>
    <row r="27" spans="1:14" s="928" customFormat="1" ht="15" customHeight="1">
      <c r="A27" s="932" t="s">
        <v>33</v>
      </c>
      <c r="B27" s="573" t="s">
        <v>832</v>
      </c>
      <c r="C27" s="992">
        <f ca="1">'3.0수량표'!H29</f>
        <v>10.999999999999998</v>
      </c>
      <c r="D27" s="573" t="s">
        <v>831</v>
      </c>
      <c r="E27" s="937">
        <f t="shared" si="1"/>
        <v>1870</v>
      </c>
      <c r="F27" s="937">
        <f ca="1">'8.0자재단가'!$I$9</f>
        <v>170</v>
      </c>
      <c r="G27" s="937">
        <f>INT(C27*F27)</f>
        <v>1870</v>
      </c>
      <c r="H27" s="937"/>
      <c r="I27" s="937"/>
      <c r="J27" s="937"/>
      <c r="K27" s="938"/>
      <c r="L27" s="964"/>
      <c r="M27" s="964"/>
      <c r="N27" s="964"/>
    </row>
    <row r="28" spans="1:14" s="928" customFormat="1" ht="15" customHeight="1">
      <c r="A28" s="576" t="s">
        <v>853</v>
      </c>
      <c r="B28" s="939" t="s">
        <v>34</v>
      </c>
      <c r="C28" s="992">
        <f ca="1">'3.0수량표'!H30</f>
        <v>1.9999999999999998</v>
      </c>
      <c r="D28" s="573" t="s">
        <v>859</v>
      </c>
      <c r="E28" s="937">
        <f t="shared" si="1"/>
        <v>400</v>
      </c>
      <c r="F28" s="937">
        <f ca="1">'8.0자재단가'!$I$10</f>
        <v>200</v>
      </c>
      <c r="G28" s="937">
        <f>INT(C28*F28)</f>
        <v>400</v>
      </c>
      <c r="H28" s="937"/>
      <c r="I28" s="937"/>
      <c r="J28" s="937"/>
      <c r="K28" s="938"/>
      <c r="L28" s="964"/>
      <c r="M28" s="983"/>
      <c r="N28" s="983"/>
    </row>
    <row r="29" spans="1:14" s="928" customFormat="1" ht="15" customHeight="1">
      <c r="A29" s="576" t="s">
        <v>854</v>
      </c>
      <c r="B29" s="573" t="s">
        <v>35</v>
      </c>
      <c r="C29" s="992">
        <f ca="1">'3.0수량표'!H31</f>
        <v>0.49999999999999994</v>
      </c>
      <c r="D29" s="573" t="s">
        <v>859</v>
      </c>
      <c r="E29" s="937">
        <f t="shared" si="1"/>
        <v>500</v>
      </c>
      <c r="F29" s="937">
        <f ca="1">'8.0자재단가'!$I$11</f>
        <v>1000</v>
      </c>
      <c r="G29" s="937">
        <f>INT(C29*F29)</f>
        <v>500</v>
      </c>
      <c r="H29" s="937"/>
      <c r="I29" s="937"/>
      <c r="J29" s="937"/>
      <c r="K29" s="938"/>
      <c r="L29" s="964"/>
      <c r="M29" s="964"/>
      <c r="N29" s="964"/>
    </row>
    <row r="30" spans="1:14" s="928" customFormat="1" ht="15" customHeight="1">
      <c r="A30" s="576" t="s">
        <v>856</v>
      </c>
      <c r="B30" s="573" t="s">
        <v>36</v>
      </c>
      <c r="C30" s="992">
        <f ca="1">'3.0수량표'!H32</f>
        <v>30</v>
      </c>
      <c r="D30" s="573" t="s">
        <v>842</v>
      </c>
      <c r="E30" s="937">
        <f t="shared" si="1"/>
        <v>2400</v>
      </c>
      <c r="F30" s="937">
        <f ca="1">'8.0자재단가'!$I$14</f>
        <v>80</v>
      </c>
      <c r="G30" s="937">
        <f>INT(C30*F30)</f>
        <v>2400</v>
      </c>
      <c r="H30" s="937"/>
      <c r="I30" s="937"/>
      <c r="J30" s="937"/>
      <c r="K30" s="938"/>
      <c r="L30" s="964"/>
      <c r="M30" s="964"/>
      <c r="N30" s="964"/>
    </row>
    <row r="31" spans="1:14" s="928" customFormat="1" ht="15" customHeight="1">
      <c r="A31" s="576" t="s">
        <v>666</v>
      </c>
      <c r="B31" s="573" t="s">
        <v>37</v>
      </c>
      <c r="C31" s="992">
        <f ca="1">'3.0수량표'!H33</f>
        <v>2</v>
      </c>
      <c r="D31" s="573" t="s">
        <v>861</v>
      </c>
      <c r="E31" s="937">
        <f t="shared" si="1"/>
        <v>238</v>
      </c>
      <c r="F31" s="937">
        <f>SUM(G26:G30)</f>
        <v>11920</v>
      </c>
      <c r="G31" s="937">
        <f>INT(C31*F31/100)</f>
        <v>238</v>
      </c>
      <c r="H31" s="937"/>
      <c r="I31" s="937"/>
      <c r="J31" s="937"/>
      <c r="K31" s="938"/>
      <c r="L31" s="964"/>
      <c r="M31" s="984"/>
      <c r="N31" s="964"/>
    </row>
    <row r="32" spans="1:14" s="928" customFormat="1" ht="15" customHeight="1">
      <c r="A32" s="942" t="s">
        <v>865</v>
      </c>
      <c r="B32" s="573" t="s">
        <v>876</v>
      </c>
      <c r="C32" s="944">
        <f ca="1">'3.0수량표'!H34</f>
        <v>0.03</v>
      </c>
      <c r="D32" s="573" t="s">
        <v>843</v>
      </c>
      <c r="E32" s="937">
        <f t="shared" si="1"/>
        <v>749</v>
      </c>
      <c r="F32" s="937">
        <f ca="1">'9.0중기목록'!$F$6</f>
        <v>0</v>
      </c>
      <c r="G32" s="937">
        <f t="shared" ref="G32:G37" si="2">INT(C32*F32)</f>
        <v>0</v>
      </c>
      <c r="H32" s="937">
        <f ca="1">'9.0중기목록'!$E$6</f>
        <v>0</v>
      </c>
      <c r="I32" s="937">
        <f t="shared" ref="I32:I41" si="3">INT(C32*H32)</f>
        <v>0</v>
      </c>
      <c r="J32" s="937">
        <f ca="1">'9.0중기목록'!$G$6</f>
        <v>24973</v>
      </c>
      <c r="K32" s="938">
        <f t="shared" ref="K32:K37" si="4">INT(C32*J32)</f>
        <v>749</v>
      </c>
      <c r="L32" s="964"/>
      <c r="M32" s="964"/>
      <c r="N32" s="964"/>
    </row>
    <row r="33" spans="1:16" s="928" customFormat="1" ht="15" customHeight="1">
      <c r="A33" s="942" t="s">
        <v>835</v>
      </c>
      <c r="B33" s="573" t="s">
        <v>844</v>
      </c>
      <c r="C33" s="944">
        <f ca="1">'3.0수량표'!H35</f>
        <v>0.03</v>
      </c>
      <c r="D33" s="573" t="s">
        <v>843</v>
      </c>
      <c r="E33" s="937">
        <f t="shared" si="1"/>
        <v>1642</v>
      </c>
      <c r="F33" s="937">
        <f ca="1">'9.0중기목록'!$F$8</f>
        <v>29577</v>
      </c>
      <c r="G33" s="937">
        <f t="shared" si="2"/>
        <v>887</v>
      </c>
      <c r="H33" s="937">
        <f ca="1">'9.0중기목록'!$E$8</f>
        <v>20561</v>
      </c>
      <c r="I33" s="937">
        <f t="shared" si="3"/>
        <v>616</v>
      </c>
      <c r="J33" s="937">
        <f ca="1">'9.0중기목록'!$G$8</f>
        <v>4656</v>
      </c>
      <c r="K33" s="938">
        <f t="shared" si="4"/>
        <v>139</v>
      </c>
      <c r="L33" s="964"/>
      <c r="M33" s="964"/>
      <c r="N33" s="964"/>
    </row>
    <row r="34" spans="1:16" s="928" customFormat="1" ht="15" customHeight="1">
      <c r="A34" s="942" t="s">
        <v>38</v>
      </c>
      <c r="B34" s="573" t="s">
        <v>39</v>
      </c>
      <c r="C34" s="944">
        <f ca="1">'3.0수량표'!H36</f>
        <v>0.03</v>
      </c>
      <c r="D34" s="573" t="s">
        <v>843</v>
      </c>
      <c r="E34" s="937">
        <f t="shared" si="1"/>
        <v>1284</v>
      </c>
      <c r="F34" s="937">
        <f ca="1">'9.0중기목록'!$F$10</f>
        <v>23409</v>
      </c>
      <c r="G34" s="937">
        <f t="shared" si="2"/>
        <v>702</v>
      </c>
      <c r="H34" s="937">
        <f ca="1">'9.0중기목록'!$E$10</f>
        <v>14915</v>
      </c>
      <c r="I34" s="937">
        <f t="shared" si="3"/>
        <v>447</v>
      </c>
      <c r="J34" s="937">
        <f ca="1">'9.0중기목록'!$G$10</f>
        <v>4533</v>
      </c>
      <c r="K34" s="938">
        <f t="shared" si="4"/>
        <v>135</v>
      </c>
      <c r="L34" s="964"/>
      <c r="M34" s="964"/>
      <c r="N34" s="964"/>
    </row>
    <row r="35" spans="1:16" s="928" customFormat="1" ht="15" customHeight="1">
      <c r="A35" s="943" t="s">
        <v>864</v>
      </c>
      <c r="B35" s="573" t="s">
        <v>868</v>
      </c>
      <c r="C35" s="944">
        <f ca="1">'3.0수량표'!H37</f>
        <v>3.5000000000000003E-2</v>
      </c>
      <c r="D35" s="573" t="s">
        <v>843</v>
      </c>
      <c r="E35" s="937">
        <f t="shared" si="1"/>
        <v>1213</v>
      </c>
      <c r="F35" s="937">
        <f ca="1">'9.0중기목록'!$F$12</f>
        <v>6640</v>
      </c>
      <c r="G35" s="937">
        <f t="shared" si="2"/>
        <v>232</v>
      </c>
      <c r="H35" s="937">
        <f ca="1">'9.0중기목록'!$E$12</f>
        <v>17696</v>
      </c>
      <c r="I35" s="937">
        <f t="shared" si="3"/>
        <v>619</v>
      </c>
      <c r="J35" s="937">
        <f ca="1">'9.0중기목록'!$G$12</f>
        <v>10362</v>
      </c>
      <c r="K35" s="938">
        <f t="shared" si="4"/>
        <v>362</v>
      </c>
      <c r="L35" s="964"/>
      <c r="M35" s="964"/>
      <c r="N35" s="964"/>
    </row>
    <row r="36" spans="1:16" s="928" customFormat="1" ht="15" customHeight="1">
      <c r="A36" s="576" t="s">
        <v>2220</v>
      </c>
      <c r="B36" s="573" t="s">
        <v>847</v>
      </c>
      <c r="C36" s="944">
        <f ca="1">'3.0수량표'!H38</f>
        <v>0.03</v>
      </c>
      <c r="D36" s="573" t="s">
        <v>843</v>
      </c>
      <c r="E36" s="937">
        <f t="shared" si="1"/>
        <v>1157</v>
      </c>
      <c r="F36" s="937">
        <f ca="1">'9.0중기목록'!$F$14</f>
        <v>13117</v>
      </c>
      <c r="G36" s="937">
        <f t="shared" si="2"/>
        <v>393</v>
      </c>
      <c r="H36" s="937">
        <f ca="1">'9.0중기목록'!$E$14</f>
        <v>17696</v>
      </c>
      <c r="I36" s="937">
        <f t="shared" si="3"/>
        <v>530</v>
      </c>
      <c r="J36" s="937">
        <f ca="1">'9.0중기목록'!$G$14</f>
        <v>7823</v>
      </c>
      <c r="K36" s="938">
        <f t="shared" si="4"/>
        <v>234</v>
      </c>
      <c r="L36" s="964"/>
      <c r="M36" s="964"/>
      <c r="N36" s="964"/>
    </row>
    <row r="37" spans="1:16" s="928" customFormat="1" ht="15" customHeight="1">
      <c r="A37" s="942" t="s">
        <v>836</v>
      </c>
      <c r="B37" s="573" t="s">
        <v>40</v>
      </c>
      <c r="C37" s="944">
        <f ca="1">'3.0수량표'!H39</f>
        <v>0.03</v>
      </c>
      <c r="D37" s="573" t="s">
        <v>843</v>
      </c>
      <c r="E37" s="937">
        <f t="shared" si="1"/>
        <v>1072</v>
      </c>
      <c r="F37" s="937">
        <f ca="1">'9.0중기목록'!$F$16</f>
        <v>11978</v>
      </c>
      <c r="G37" s="937">
        <f t="shared" si="2"/>
        <v>359</v>
      </c>
      <c r="H37" s="937">
        <f ca="1">'9.0중기목록'!$E$16</f>
        <v>17696</v>
      </c>
      <c r="I37" s="937">
        <f t="shared" si="3"/>
        <v>530</v>
      </c>
      <c r="J37" s="937">
        <f ca="1">'9.0중기목록'!$G$16</f>
        <v>6117</v>
      </c>
      <c r="K37" s="938">
        <f t="shared" si="4"/>
        <v>183</v>
      </c>
      <c r="L37" s="964"/>
      <c r="M37" s="984"/>
      <c r="N37" s="964"/>
    </row>
    <row r="38" spans="1:16" s="928" customFormat="1" ht="15" customHeight="1">
      <c r="A38" s="576" t="s">
        <v>837</v>
      </c>
      <c r="B38" s="573"/>
      <c r="C38" s="944">
        <f ca="1">'3.0수량표'!H40</f>
        <v>5.0000000000000001E-3</v>
      </c>
      <c r="D38" s="573" t="s">
        <v>1221</v>
      </c>
      <c r="E38" s="937">
        <f t="shared" si="1"/>
        <v>461</v>
      </c>
      <c r="F38" s="937"/>
      <c r="G38" s="937"/>
      <c r="H38" s="937">
        <f ca="1">'11.0시중노임'!$F$4</f>
        <v>92218</v>
      </c>
      <c r="I38" s="937">
        <f t="shared" si="3"/>
        <v>461</v>
      </c>
      <c r="J38" s="937"/>
      <c r="K38" s="938"/>
      <c r="L38" s="964"/>
      <c r="M38" s="964"/>
      <c r="N38" s="964"/>
    </row>
    <row r="39" spans="1:16" s="928" customFormat="1" ht="15" customHeight="1">
      <c r="A39" s="576" t="s">
        <v>1422</v>
      </c>
      <c r="B39" s="573"/>
      <c r="C39" s="944">
        <f ca="1">'3.0수량표'!H41</f>
        <v>2.1999999999999999E-2</v>
      </c>
      <c r="D39" s="573" t="s">
        <v>1221</v>
      </c>
      <c r="E39" s="937">
        <f t="shared" si="1"/>
        <v>1856</v>
      </c>
      <c r="F39" s="937"/>
      <c r="G39" s="937"/>
      <c r="H39" s="937">
        <f ca="1">'11.0시중노임'!$F$5</f>
        <v>84404</v>
      </c>
      <c r="I39" s="937">
        <f t="shared" si="3"/>
        <v>1856</v>
      </c>
      <c r="J39" s="937"/>
      <c r="K39" s="938"/>
      <c r="L39" s="964"/>
      <c r="M39" s="964"/>
      <c r="N39" s="964"/>
    </row>
    <row r="40" spans="1:16" s="928" customFormat="1" ht="15" customHeight="1">
      <c r="A40" s="576" t="s">
        <v>848</v>
      </c>
      <c r="B40" s="573"/>
      <c r="C40" s="944">
        <f ca="1">'3.0수량표'!H42</f>
        <v>5.0000000000000001E-3</v>
      </c>
      <c r="D40" s="573" t="s">
        <v>1221</v>
      </c>
      <c r="E40" s="937">
        <f t="shared" si="1"/>
        <v>432</v>
      </c>
      <c r="F40" s="937"/>
      <c r="G40" s="937"/>
      <c r="H40" s="937">
        <f ca="1">'11.0시중노임'!$F$12</f>
        <v>86521</v>
      </c>
      <c r="I40" s="937">
        <f t="shared" si="3"/>
        <v>432</v>
      </c>
      <c r="J40" s="937"/>
      <c r="K40" s="938"/>
      <c r="L40" s="964"/>
      <c r="M40" s="964"/>
      <c r="N40" s="964"/>
    </row>
    <row r="41" spans="1:16" s="928" customFormat="1" ht="15" customHeight="1">
      <c r="A41" s="576" t="s">
        <v>839</v>
      </c>
      <c r="B41" s="573"/>
      <c r="C41" s="944">
        <f ca="1">'3.0수량표'!H43</f>
        <v>3.7999999999999999E-2</v>
      </c>
      <c r="D41" s="573" t="s">
        <v>1221</v>
      </c>
      <c r="E41" s="937">
        <f t="shared" si="1"/>
        <v>2620</v>
      </c>
      <c r="F41" s="937"/>
      <c r="G41" s="937"/>
      <c r="H41" s="937">
        <f ca="1">'11.0시중노임'!$F$6</f>
        <v>68965</v>
      </c>
      <c r="I41" s="937">
        <f t="shared" si="3"/>
        <v>2620</v>
      </c>
      <c r="J41" s="937"/>
      <c r="K41" s="938"/>
      <c r="L41" s="964"/>
      <c r="M41" s="984"/>
      <c r="N41" s="964"/>
    </row>
    <row r="42" spans="1:16" s="928" customFormat="1" ht="15" customHeight="1">
      <c r="A42" s="576" t="s">
        <v>840</v>
      </c>
      <c r="B42" s="573" t="s">
        <v>980</v>
      </c>
      <c r="C42" s="992">
        <f ca="1">'3.0수량표'!D44</f>
        <v>2</v>
      </c>
      <c r="D42" s="573" t="s">
        <v>861</v>
      </c>
      <c r="E42" s="937">
        <f t="shared" si="1"/>
        <v>107</v>
      </c>
      <c r="F42" s="937"/>
      <c r="G42" s="937"/>
      <c r="H42" s="937"/>
      <c r="I42" s="937"/>
      <c r="J42" s="937">
        <f>SUM(I38:I41)</f>
        <v>5369</v>
      </c>
      <c r="K42" s="938">
        <f>INT(C42*J42/100)</f>
        <v>107</v>
      </c>
      <c r="L42" s="964"/>
      <c r="M42" s="964"/>
      <c r="N42" s="964"/>
    </row>
    <row r="43" spans="1:16" s="956" customFormat="1" ht="15" customHeight="1">
      <c r="A43" s="971" t="s">
        <v>849</v>
      </c>
      <c r="B43" s="986"/>
      <c r="C43" s="987"/>
      <c r="D43" s="986"/>
      <c r="E43" s="973">
        <f t="shared" si="1"/>
        <v>24751</v>
      </c>
      <c r="F43" s="973"/>
      <c r="G43" s="973">
        <f>SUM(G26:G42)</f>
        <v>14731</v>
      </c>
      <c r="H43" s="973"/>
      <c r="I43" s="973">
        <f>SUM(I26:I42)</f>
        <v>8111</v>
      </c>
      <c r="J43" s="973"/>
      <c r="K43" s="988">
        <f>SUM(K26:K42)</f>
        <v>1909</v>
      </c>
      <c r="L43" s="989"/>
      <c r="M43" s="989"/>
      <c r="N43" s="989"/>
    </row>
    <row r="44" spans="1:16" s="956" customFormat="1" ht="15" customHeight="1">
      <c r="A44" s="971"/>
      <c r="B44" s="986"/>
      <c r="C44" s="987"/>
      <c r="D44" s="986"/>
      <c r="E44" s="973"/>
      <c r="F44" s="973"/>
      <c r="G44" s="973"/>
      <c r="H44" s="973"/>
      <c r="I44" s="973"/>
      <c r="J44" s="973"/>
      <c r="K44" s="988"/>
      <c r="L44" s="965"/>
      <c r="M44" s="965"/>
      <c r="N44" s="965"/>
      <c r="O44" s="931"/>
      <c r="P44" s="928"/>
    </row>
    <row r="45" spans="1:16" s="928" customFormat="1" ht="15" customHeight="1">
      <c r="A45" s="947"/>
      <c r="B45" s="948" t="s">
        <v>981</v>
      </c>
      <c r="C45" s="948"/>
      <c r="D45" s="949"/>
      <c r="E45" s="937"/>
      <c r="F45" s="948"/>
      <c r="G45" s="948"/>
      <c r="H45" s="948"/>
      <c r="I45" s="948"/>
      <c r="J45" s="948"/>
      <c r="K45" s="950"/>
      <c r="L45" s="964"/>
      <c r="M45" s="964"/>
      <c r="N45" s="964"/>
    </row>
    <row r="46" spans="1:16" s="956" customFormat="1" ht="15" customHeight="1">
      <c r="A46" s="951" t="s">
        <v>886</v>
      </c>
      <c r="B46" s="952"/>
      <c r="C46" s="952"/>
      <c r="D46" s="953"/>
      <c r="E46" s="954">
        <f>E43+E24+E16+E10</f>
        <v>35368</v>
      </c>
      <c r="F46" s="954"/>
      <c r="G46" s="954">
        <f>G43+G24+G16+G10</f>
        <v>18700</v>
      </c>
      <c r="H46" s="954"/>
      <c r="I46" s="954">
        <f>I43+I24+I16+I10</f>
        <v>14622</v>
      </c>
      <c r="J46" s="954"/>
      <c r="K46" s="955">
        <f>K43+K24+K16+K10</f>
        <v>2046</v>
      </c>
      <c r="L46" s="989"/>
      <c r="M46" s="989"/>
      <c r="N46" s="989"/>
    </row>
    <row r="47" spans="1:16" ht="9.9499999999999993" customHeight="1"/>
  </sheetData>
  <mergeCells count="9">
    <mergeCell ref="A1:K1"/>
    <mergeCell ref="F3:G3"/>
    <mergeCell ref="H3:I3"/>
    <mergeCell ref="J3:K3"/>
    <mergeCell ref="A3:A4"/>
    <mergeCell ref="B3:B4"/>
    <mergeCell ref="C3:C4"/>
    <mergeCell ref="D3:D4"/>
    <mergeCell ref="E3:E4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P45"/>
  <sheetViews>
    <sheetView topLeftCell="A4" zoomScaleSheetLayoutView="90" workbookViewId="0">
      <selection activeCell="H40" sqref="H40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11" width="6.33203125" style="908" customWidth="1"/>
    <col min="12" max="14" width="8.88671875" style="963"/>
    <col min="15" max="16384" width="8.88671875" style="908"/>
  </cols>
  <sheetData>
    <row r="1" spans="1:15" ht="26.1" customHeight="1">
      <c r="A1" s="1669" t="s">
        <v>41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5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977</v>
      </c>
      <c r="L2" s="964"/>
      <c r="M2" s="964"/>
      <c r="N2" s="964"/>
    </row>
    <row r="3" spans="1:15" s="928" customFormat="1" ht="20.100000000000001" customHeight="1">
      <c r="A3" s="1689" t="s">
        <v>285</v>
      </c>
      <c r="B3" s="1670" t="s">
        <v>286</v>
      </c>
      <c r="C3" s="1670" t="s">
        <v>1115</v>
      </c>
      <c r="D3" s="1670" t="s">
        <v>288</v>
      </c>
      <c r="E3" s="1672" t="s">
        <v>828</v>
      </c>
      <c r="F3" s="1670" t="s">
        <v>289</v>
      </c>
      <c r="G3" s="1670"/>
      <c r="H3" s="1670" t="s">
        <v>826</v>
      </c>
      <c r="I3" s="1670"/>
      <c r="J3" s="1670" t="s">
        <v>827</v>
      </c>
      <c r="K3" s="1674"/>
      <c r="L3" s="964"/>
      <c r="M3" s="964"/>
      <c r="N3" s="964"/>
    </row>
    <row r="4" spans="1:15" s="931" customFormat="1" ht="20.100000000000001" customHeight="1">
      <c r="A4" s="1690"/>
      <c r="B4" s="1671"/>
      <c r="C4" s="1671"/>
      <c r="D4" s="1671"/>
      <c r="E4" s="1673"/>
      <c r="F4" s="929" t="s">
        <v>1405</v>
      </c>
      <c r="G4" s="929" t="s">
        <v>830</v>
      </c>
      <c r="H4" s="929" t="s">
        <v>1405</v>
      </c>
      <c r="I4" s="929" t="s">
        <v>830</v>
      </c>
      <c r="J4" s="929" t="s">
        <v>1405</v>
      </c>
      <c r="K4" s="930" t="s">
        <v>830</v>
      </c>
      <c r="L4" s="965"/>
      <c r="M4" s="965"/>
      <c r="N4" s="965"/>
    </row>
    <row r="5" spans="1:15" s="969" customFormat="1" ht="15" customHeight="1">
      <c r="A5" s="966" t="s">
        <v>1025</v>
      </c>
      <c r="B5" s="967"/>
      <c r="C5" s="967"/>
      <c r="D5" s="967"/>
      <c r="E5" s="967"/>
      <c r="F5" s="967"/>
      <c r="G5" s="967"/>
      <c r="H5" s="967"/>
      <c r="I5" s="967"/>
      <c r="J5" s="967"/>
      <c r="K5" s="968"/>
      <c r="L5" s="965"/>
      <c r="M5" s="965"/>
      <c r="N5" s="965"/>
      <c r="O5" s="931"/>
    </row>
    <row r="6" spans="1:15" s="969" customFormat="1" ht="15" customHeight="1">
      <c r="A6" s="942" t="s">
        <v>1008</v>
      </c>
      <c r="B6" s="970" t="s">
        <v>29</v>
      </c>
      <c r="C6" s="945">
        <f ca="1">'3.0수량표'!H5</f>
        <v>1.9E-2</v>
      </c>
      <c r="D6" s="573" t="s">
        <v>843</v>
      </c>
      <c r="E6" s="937">
        <f>G6+I6+K6</f>
        <v>813</v>
      </c>
      <c r="F6" s="937">
        <f ca="1">'9.0중기목록'!$F$10</f>
        <v>23409</v>
      </c>
      <c r="G6" s="937">
        <f ca="1">INT(C6*F6)</f>
        <v>444</v>
      </c>
      <c r="H6" s="937">
        <f ca="1">'9.0중기목록'!$E$10</f>
        <v>14915</v>
      </c>
      <c r="I6" s="937">
        <f ca="1">INT(C6*H6)</f>
        <v>283</v>
      </c>
      <c r="J6" s="937">
        <f ca="1">'9.0중기목록'!$G$10</f>
        <v>4533</v>
      </c>
      <c r="K6" s="938">
        <f>INT(C6*J6)</f>
        <v>86</v>
      </c>
      <c r="L6" s="965"/>
      <c r="M6" s="965"/>
      <c r="N6" s="965"/>
      <c r="O6" s="931"/>
    </row>
    <row r="7" spans="1:15" s="969" customFormat="1" ht="15" customHeight="1">
      <c r="A7" s="942" t="s">
        <v>1010</v>
      </c>
      <c r="B7" s="970"/>
      <c r="C7" s="945">
        <f ca="1">'3.0수량표'!H6</f>
        <v>1.2E-2</v>
      </c>
      <c r="D7" s="967" t="s">
        <v>1221</v>
      </c>
      <c r="E7" s="937">
        <f>G7+I7+K7</f>
        <v>954</v>
      </c>
      <c r="F7" s="937"/>
      <c r="G7" s="937"/>
      <c r="H7" s="937">
        <f ca="1">'11.0시중노임'!$F$3</f>
        <v>79533</v>
      </c>
      <c r="I7" s="937">
        <f>INT(C7*H7)</f>
        <v>954</v>
      </c>
      <c r="J7" s="967"/>
      <c r="K7" s="968"/>
      <c r="L7" s="965"/>
      <c r="M7" s="965"/>
      <c r="N7" s="965"/>
      <c r="O7" s="931"/>
    </row>
    <row r="8" spans="1:15" s="969" customFormat="1" ht="15" customHeight="1">
      <c r="A8" s="942" t="s">
        <v>1011</v>
      </c>
      <c r="B8" s="970"/>
      <c r="C8" s="945">
        <f ca="1">'3.0수량표'!H7</f>
        <v>1.2E-2</v>
      </c>
      <c r="D8" s="967" t="s">
        <v>1221</v>
      </c>
      <c r="E8" s="937">
        <f>G8+I8+K8</f>
        <v>827</v>
      </c>
      <c r="F8" s="937"/>
      <c r="G8" s="937"/>
      <c r="H8" s="937">
        <f ca="1">'11.0시중노임'!$F$6</f>
        <v>68965</v>
      </c>
      <c r="I8" s="937">
        <f>INT(C8*H8)</f>
        <v>827</v>
      </c>
      <c r="J8" s="967"/>
      <c r="K8" s="968"/>
      <c r="L8" s="965"/>
      <c r="M8" s="965"/>
      <c r="N8" s="965"/>
      <c r="O8" s="931"/>
    </row>
    <row r="9" spans="1:15" s="969" customFormat="1" ht="15" customHeight="1">
      <c r="A9" s="943" t="s">
        <v>30</v>
      </c>
      <c r="B9" s="573" t="s">
        <v>980</v>
      </c>
      <c r="C9" s="945">
        <f ca="1">'3.0수량표'!H8</f>
        <v>2.5</v>
      </c>
      <c r="D9" s="573" t="s">
        <v>861</v>
      </c>
      <c r="E9" s="937">
        <f>G9+I9+K9</f>
        <v>51</v>
      </c>
      <c r="F9" s="937"/>
      <c r="G9" s="937"/>
      <c r="H9" s="937"/>
      <c r="I9" s="937"/>
      <c r="J9" s="937">
        <f>SUM(I6:I8)</f>
        <v>2064</v>
      </c>
      <c r="K9" s="938">
        <f>INT(C9*J9/100)</f>
        <v>51</v>
      </c>
      <c r="L9" s="965"/>
      <c r="M9" s="965"/>
      <c r="N9" s="965"/>
      <c r="O9" s="931"/>
    </row>
    <row r="10" spans="1:15" s="976" customFormat="1" ht="15" customHeight="1">
      <c r="A10" s="971" t="s">
        <v>849</v>
      </c>
      <c r="B10" s="972"/>
      <c r="C10" s="972"/>
      <c r="D10" s="972"/>
      <c r="E10" s="973">
        <f>G10+I10+K10</f>
        <v>2645</v>
      </c>
      <c r="F10" s="972"/>
      <c r="G10" s="974">
        <f>SUM(G6:G9)</f>
        <v>444</v>
      </c>
      <c r="H10" s="972"/>
      <c r="I10" s="974">
        <f>SUM(I6:I9)</f>
        <v>2064</v>
      </c>
      <c r="J10" s="972"/>
      <c r="K10" s="975">
        <f>SUM(K6:K9)</f>
        <v>137</v>
      </c>
      <c r="L10" s="965"/>
      <c r="M10" s="965"/>
      <c r="N10" s="965"/>
      <c r="O10" s="931"/>
    </row>
    <row r="11" spans="1:15" s="969" customFormat="1" ht="15" customHeight="1">
      <c r="A11" s="966" t="s">
        <v>1026</v>
      </c>
      <c r="B11" s="967"/>
      <c r="C11" s="967"/>
      <c r="D11" s="967"/>
      <c r="E11" s="967"/>
      <c r="F11" s="967"/>
      <c r="G11" s="967"/>
      <c r="H11" s="967"/>
      <c r="I11" s="967"/>
      <c r="J11" s="967"/>
      <c r="K11" s="968"/>
      <c r="L11" s="965"/>
      <c r="M11" s="965"/>
      <c r="N11" s="965"/>
      <c r="O11" s="931"/>
    </row>
    <row r="12" spans="1:15" s="969" customFormat="1" ht="15" customHeight="1">
      <c r="A12" s="942" t="s">
        <v>872</v>
      </c>
      <c r="B12" s="967" t="s">
        <v>42</v>
      </c>
      <c r="C12" s="967">
        <f ca="1">'3.0수량표'!H10</f>
        <v>0.23</v>
      </c>
      <c r="D12" s="967" t="s">
        <v>1167</v>
      </c>
      <c r="E12" s="937">
        <f>G12+I12+K12</f>
        <v>207</v>
      </c>
      <c r="F12" s="937">
        <f ca="1">'8.0자재단가'!$I$17</f>
        <v>900</v>
      </c>
      <c r="G12" s="937">
        <f>INT(C12*F12)</f>
        <v>207</v>
      </c>
      <c r="H12" s="967"/>
      <c r="I12" s="967"/>
      <c r="J12" s="967"/>
      <c r="K12" s="968"/>
      <c r="L12" s="965"/>
      <c r="M12" s="965"/>
      <c r="N12" s="965"/>
      <c r="O12" s="931"/>
    </row>
    <row r="13" spans="1:15" s="969" customFormat="1" ht="15" customHeight="1">
      <c r="A13" s="942" t="s">
        <v>887</v>
      </c>
      <c r="B13" s="967" t="s">
        <v>31</v>
      </c>
      <c r="C13" s="967">
        <f ca="1">'3.0수량표'!H11</f>
        <v>0.5</v>
      </c>
      <c r="D13" s="967" t="s">
        <v>1167</v>
      </c>
      <c r="E13" s="937">
        <f>G13+I13+K13</f>
        <v>250</v>
      </c>
      <c r="F13" s="937">
        <f ca="1">'8.0자재단가'!I16</f>
        <v>500</v>
      </c>
      <c r="G13" s="937">
        <f>INT(C13*F13)</f>
        <v>250</v>
      </c>
      <c r="H13" s="967"/>
      <c r="I13" s="967"/>
      <c r="J13" s="967"/>
      <c r="K13" s="968"/>
      <c r="L13" s="965"/>
      <c r="M13" s="965"/>
      <c r="N13" s="965"/>
      <c r="O13" s="931"/>
    </row>
    <row r="14" spans="1:15" s="969" customFormat="1" ht="15" customHeight="1">
      <c r="A14" s="942" t="s">
        <v>1422</v>
      </c>
      <c r="B14" s="967"/>
      <c r="C14" s="967">
        <f ca="1">'3.0수량표'!H12</f>
        <v>6.0000000000000001E-3</v>
      </c>
      <c r="D14" s="967" t="s">
        <v>1221</v>
      </c>
      <c r="E14" s="937">
        <f>G14+I14+K14</f>
        <v>506</v>
      </c>
      <c r="F14" s="937"/>
      <c r="G14" s="937"/>
      <c r="H14" s="937">
        <f ca="1">'11.0시중노임'!$F$5</f>
        <v>84404</v>
      </c>
      <c r="I14" s="937">
        <f>INT(C14*H14)</f>
        <v>506</v>
      </c>
      <c r="J14" s="967"/>
      <c r="K14" s="968"/>
      <c r="L14" s="965"/>
      <c r="M14" s="965"/>
      <c r="N14" s="965"/>
      <c r="O14" s="931"/>
    </row>
    <row r="15" spans="1:15" s="969" customFormat="1" ht="15" customHeight="1">
      <c r="A15" s="942" t="s">
        <v>839</v>
      </c>
      <c r="B15" s="967"/>
      <c r="C15" s="967">
        <f ca="1">'3.0수량표'!H13</f>
        <v>6.0000000000000001E-3</v>
      </c>
      <c r="D15" s="967" t="s">
        <v>1221</v>
      </c>
      <c r="E15" s="937">
        <f>G15+I15+K15</f>
        <v>413</v>
      </c>
      <c r="F15" s="937"/>
      <c r="G15" s="937"/>
      <c r="H15" s="937">
        <f ca="1">'11.0시중노임'!$F$6</f>
        <v>68965</v>
      </c>
      <c r="I15" s="937">
        <f>INT(C15*H15)</f>
        <v>413</v>
      </c>
      <c r="J15" s="967"/>
      <c r="K15" s="968"/>
      <c r="L15" s="965"/>
      <c r="M15" s="965"/>
      <c r="N15" s="965"/>
      <c r="O15" s="931"/>
    </row>
    <row r="16" spans="1:15" s="969" customFormat="1" ht="15" customHeight="1">
      <c r="A16" s="971" t="s">
        <v>849</v>
      </c>
      <c r="B16" s="972"/>
      <c r="C16" s="972"/>
      <c r="D16" s="972"/>
      <c r="E16" s="973">
        <f>G16+I16+K16</f>
        <v>1376</v>
      </c>
      <c r="F16" s="972"/>
      <c r="G16" s="974">
        <f>SUM(G11:G15)</f>
        <v>457</v>
      </c>
      <c r="H16" s="972"/>
      <c r="I16" s="974">
        <f>SUM(I11:I15)</f>
        <v>919</v>
      </c>
      <c r="J16" s="972"/>
      <c r="K16" s="968"/>
      <c r="L16" s="965"/>
      <c r="M16" s="965"/>
      <c r="N16" s="965"/>
      <c r="O16" s="931"/>
    </row>
    <row r="17" spans="1:15" s="965" customFormat="1" ht="15" customHeight="1">
      <c r="A17" s="966" t="s">
        <v>888</v>
      </c>
      <c r="B17" s="967"/>
      <c r="C17" s="967"/>
      <c r="D17" s="967"/>
      <c r="E17" s="967"/>
      <c r="F17" s="967"/>
      <c r="G17" s="967"/>
      <c r="H17" s="967"/>
      <c r="I17" s="967"/>
      <c r="J17" s="967"/>
      <c r="K17" s="968"/>
      <c r="O17" s="931"/>
    </row>
    <row r="18" spans="1:15" s="969" customFormat="1" ht="15" customHeight="1">
      <c r="A18" s="943" t="s">
        <v>1015</v>
      </c>
      <c r="B18" s="977" t="s">
        <v>1426</v>
      </c>
      <c r="C18" s="978">
        <f ca="1">'3.0수량표'!H22</f>
        <v>1.3</v>
      </c>
      <c r="D18" s="970" t="s">
        <v>1016</v>
      </c>
      <c r="E18" s="937">
        <f>G18+I18+K18</f>
        <v>2873</v>
      </c>
      <c r="F18" s="979">
        <f ca="1">'8.0자재단가'!$I$19</f>
        <v>2210</v>
      </c>
      <c r="G18" s="937">
        <f>INT(C18*F18)</f>
        <v>2873</v>
      </c>
      <c r="H18" s="967"/>
      <c r="I18" s="967"/>
      <c r="J18" s="967"/>
      <c r="K18" s="968"/>
      <c r="L18" s="965"/>
      <c r="M18" s="965"/>
      <c r="N18" s="965"/>
      <c r="O18" s="931"/>
    </row>
    <row r="19" spans="1:15" s="969" customFormat="1" ht="15" customHeight="1">
      <c r="A19" s="943" t="s">
        <v>1428</v>
      </c>
      <c r="B19" s="967" t="s">
        <v>32</v>
      </c>
      <c r="C19" s="978">
        <f ca="1">'3.0수량표'!H23</f>
        <v>1.3</v>
      </c>
      <c r="D19" s="970" t="s">
        <v>1019</v>
      </c>
      <c r="E19" s="937">
        <f>G19+I19+K19</f>
        <v>195</v>
      </c>
      <c r="F19" s="979">
        <f ca="1">'8.0자재단가'!$I$20</f>
        <v>150</v>
      </c>
      <c r="G19" s="937">
        <f>INT(C19*F19)</f>
        <v>195</v>
      </c>
      <c r="H19" s="967"/>
      <c r="I19" s="967"/>
      <c r="J19" s="967"/>
      <c r="K19" s="968"/>
      <c r="L19" s="965"/>
      <c r="M19" s="965"/>
      <c r="N19" s="965"/>
      <c r="O19" s="931"/>
    </row>
    <row r="20" spans="1:15" s="969" customFormat="1" ht="15" customHeight="1">
      <c r="A20" s="942" t="s">
        <v>837</v>
      </c>
      <c r="B20" s="967"/>
      <c r="C20" s="967">
        <f ca="1">'3.0수량표'!H24</f>
        <v>5.0000000000000001E-3</v>
      </c>
      <c r="D20" s="967" t="s">
        <v>1221</v>
      </c>
      <c r="E20" s="937">
        <f>G20+I20+K20</f>
        <v>461</v>
      </c>
      <c r="F20" s="937"/>
      <c r="G20" s="937"/>
      <c r="H20" s="937">
        <f ca="1">'11.0시중노임'!$F$4</f>
        <v>92218</v>
      </c>
      <c r="I20" s="937">
        <f>INT(C20*H20)</f>
        <v>461</v>
      </c>
      <c r="J20" s="937"/>
      <c r="K20" s="938"/>
      <c r="L20" s="965"/>
      <c r="M20" s="965"/>
      <c r="N20" s="965"/>
      <c r="O20" s="931"/>
    </row>
    <row r="21" spans="1:15" s="969" customFormat="1" ht="15" customHeight="1">
      <c r="A21" s="942" t="s">
        <v>1422</v>
      </c>
      <c r="B21" s="967"/>
      <c r="C21" s="980">
        <f ca="1">'3.0수량표'!H25</f>
        <v>0.02</v>
      </c>
      <c r="D21" s="967" t="s">
        <v>1221</v>
      </c>
      <c r="E21" s="937">
        <f>G21+I21+K21</f>
        <v>1688</v>
      </c>
      <c r="F21" s="937"/>
      <c r="G21" s="937"/>
      <c r="H21" s="937">
        <f ca="1">'11.0시중노임'!$F$5</f>
        <v>84404</v>
      </c>
      <c r="I21" s="937">
        <f>INT(C21*H21)</f>
        <v>1688</v>
      </c>
      <c r="J21" s="967"/>
      <c r="K21" s="968"/>
      <c r="L21" s="965"/>
      <c r="M21" s="965"/>
      <c r="N21" s="965"/>
      <c r="O21" s="931"/>
    </row>
    <row r="22" spans="1:15" s="969" customFormat="1" ht="15" customHeight="1">
      <c r="A22" s="942" t="s">
        <v>839</v>
      </c>
      <c r="B22" s="967"/>
      <c r="C22" s="980">
        <f ca="1">'3.0수량표'!H26</f>
        <v>0.02</v>
      </c>
      <c r="D22" s="967" t="s">
        <v>1221</v>
      </c>
      <c r="E22" s="937">
        <f>G22+I22+K22</f>
        <v>1379</v>
      </c>
      <c r="F22" s="937"/>
      <c r="G22" s="937"/>
      <c r="H22" s="937">
        <f ca="1">'11.0시중노임'!$F$6</f>
        <v>68965</v>
      </c>
      <c r="I22" s="937">
        <f>INT(C22*H22)</f>
        <v>1379</v>
      </c>
      <c r="J22" s="967"/>
      <c r="K22" s="968"/>
      <c r="L22" s="965"/>
      <c r="M22" s="965"/>
      <c r="N22" s="965"/>
      <c r="O22" s="931"/>
    </row>
    <row r="23" spans="1:15" s="976" customFormat="1" ht="15" customHeight="1">
      <c r="A23" s="971" t="s">
        <v>849</v>
      </c>
      <c r="B23" s="972"/>
      <c r="C23" s="972"/>
      <c r="D23" s="972"/>
      <c r="E23" s="974">
        <f>SUM(E18:E22)</f>
        <v>6596</v>
      </c>
      <c r="F23" s="972"/>
      <c r="G23" s="974">
        <f>SUM(G18:G22)</f>
        <v>3068</v>
      </c>
      <c r="H23" s="972"/>
      <c r="I23" s="974">
        <f>SUM(I18:I22)</f>
        <v>3528</v>
      </c>
      <c r="J23" s="972"/>
      <c r="K23" s="981"/>
      <c r="L23" s="965"/>
      <c r="M23" s="965"/>
      <c r="N23" s="965"/>
      <c r="O23" s="931"/>
    </row>
    <row r="24" spans="1:15" s="965" customFormat="1" ht="15" customHeight="1">
      <c r="A24" s="966" t="s">
        <v>890</v>
      </c>
      <c r="B24" s="967"/>
      <c r="C24" s="967"/>
      <c r="D24" s="967"/>
      <c r="E24" s="967"/>
      <c r="F24" s="967"/>
      <c r="G24" s="967"/>
      <c r="H24" s="967"/>
      <c r="I24" s="967"/>
      <c r="J24" s="967"/>
      <c r="K24" s="968"/>
      <c r="O24" s="931"/>
    </row>
    <row r="25" spans="1:15" s="931" customFormat="1" ht="15" customHeight="1">
      <c r="A25" s="576" t="s">
        <v>850</v>
      </c>
      <c r="B25" s="573" t="s">
        <v>851</v>
      </c>
      <c r="C25" s="992">
        <f ca="1">'3.0수량표'!I28</f>
        <v>63</v>
      </c>
      <c r="D25" s="573" t="s">
        <v>831</v>
      </c>
      <c r="E25" s="937">
        <f t="shared" ref="E25:E42" si="0">G25+I25+K25</f>
        <v>9450</v>
      </c>
      <c r="F25" s="937">
        <f ca="1">'8.0자재단가'!$I$8</f>
        <v>150</v>
      </c>
      <c r="G25" s="937">
        <f>INT(C25*F25)</f>
        <v>9450</v>
      </c>
      <c r="H25" s="937"/>
      <c r="I25" s="937"/>
      <c r="J25" s="937"/>
      <c r="K25" s="938"/>
      <c r="L25" s="965"/>
      <c r="M25" s="965"/>
      <c r="N25" s="965"/>
    </row>
    <row r="26" spans="1:15" s="928" customFormat="1" ht="15" customHeight="1">
      <c r="A26" s="932" t="s">
        <v>33</v>
      </c>
      <c r="B26" s="573" t="s">
        <v>832</v>
      </c>
      <c r="C26" s="992">
        <f ca="1">'3.0수량표'!I29</f>
        <v>15.399999999999999</v>
      </c>
      <c r="D26" s="573" t="s">
        <v>831</v>
      </c>
      <c r="E26" s="937">
        <f t="shared" si="0"/>
        <v>2618</v>
      </c>
      <c r="F26" s="937">
        <f ca="1">'8.0자재단가'!$I$9</f>
        <v>170</v>
      </c>
      <c r="G26" s="937">
        <f>INT(C26*F26)</f>
        <v>2618</v>
      </c>
      <c r="H26" s="937"/>
      <c r="I26" s="937"/>
      <c r="J26" s="937"/>
      <c r="K26" s="938"/>
      <c r="L26" s="965"/>
      <c r="M26" s="965"/>
      <c r="N26" s="965"/>
      <c r="O26" s="931"/>
    </row>
    <row r="27" spans="1:15" s="928" customFormat="1" ht="15" customHeight="1">
      <c r="A27" s="576" t="s">
        <v>853</v>
      </c>
      <c r="B27" s="939" t="s">
        <v>34</v>
      </c>
      <c r="C27" s="992">
        <f ca="1">'3.0수량표'!I30</f>
        <v>2.8</v>
      </c>
      <c r="D27" s="573" t="s">
        <v>859</v>
      </c>
      <c r="E27" s="937">
        <f t="shared" si="0"/>
        <v>560</v>
      </c>
      <c r="F27" s="937">
        <f ca="1">'8.0자재단가'!$I$10</f>
        <v>200</v>
      </c>
      <c r="G27" s="937">
        <f>INT(C27*F27)</f>
        <v>560</v>
      </c>
      <c r="H27" s="937"/>
      <c r="I27" s="937"/>
      <c r="J27" s="937"/>
      <c r="K27" s="938"/>
      <c r="L27" s="965"/>
      <c r="M27" s="965"/>
      <c r="N27" s="965"/>
      <c r="O27" s="931"/>
    </row>
    <row r="28" spans="1:15" s="928" customFormat="1" ht="15" customHeight="1">
      <c r="A28" s="576" t="s">
        <v>854</v>
      </c>
      <c r="B28" s="573" t="s">
        <v>35</v>
      </c>
      <c r="C28" s="992">
        <f ca="1">'3.0수량표'!I31</f>
        <v>0.7</v>
      </c>
      <c r="D28" s="573" t="s">
        <v>859</v>
      </c>
      <c r="E28" s="937">
        <f t="shared" si="0"/>
        <v>700</v>
      </c>
      <c r="F28" s="937">
        <f ca="1">'8.0자재단가'!$I$11</f>
        <v>1000</v>
      </c>
      <c r="G28" s="937">
        <f>INT(C28*F28)</f>
        <v>700</v>
      </c>
      <c r="H28" s="937"/>
      <c r="I28" s="937"/>
      <c r="J28" s="937"/>
      <c r="K28" s="938"/>
      <c r="L28" s="993"/>
      <c r="M28" s="965"/>
      <c r="N28" s="965"/>
      <c r="O28" s="931"/>
    </row>
    <row r="29" spans="1:15" s="928" customFormat="1" ht="15" customHeight="1">
      <c r="A29" s="576" t="s">
        <v>856</v>
      </c>
      <c r="B29" s="573" t="s">
        <v>36</v>
      </c>
      <c r="C29" s="992">
        <f ca="1">'3.0수량표'!I32</f>
        <v>30</v>
      </c>
      <c r="D29" s="573" t="s">
        <v>842</v>
      </c>
      <c r="E29" s="937">
        <f t="shared" si="0"/>
        <v>2400</v>
      </c>
      <c r="F29" s="937">
        <f ca="1">'8.0자재단가'!$I$14</f>
        <v>80</v>
      </c>
      <c r="G29" s="937">
        <f>INT(C29*F29)</f>
        <v>2400</v>
      </c>
      <c r="H29" s="937"/>
      <c r="I29" s="937"/>
      <c r="J29" s="937"/>
      <c r="K29" s="938"/>
      <c r="L29" s="965"/>
      <c r="M29" s="965"/>
      <c r="N29" s="965"/>
      <c r="O29" s="931"/>
    </row>
    <row r="30" spans="1:15" s="928" customFormat="1" ht="15" customHeight="1">
      <c r="A30" s="576" t="s">
        <v>666</v>
      </c>
      <c r="B30" s="573" t="s">
        <v>37</v>
      </c>
      <c r="C30" s="992">
        <f ca="1">'3.0수량표'!I33</f>
        <v>2</v>
      </c>
      <c r="D30" s="573" t="s">
        <v>861</v>
      </c>
      <c r="E30" s="937">
        <f t="shared" si="0"/>
        <v>314</v>
      </c>
      <c r="F30" s="937">
        <f>SUM(G25:G29)</f>
        <v>15728</v>
      </c>
      <c r="G30" s="937">
        <f>INT(C30*F30/100)</f>
        <v>314</v>
      </c>
      <c r="H30" s="937"/>
      <c r="I30" s="937"/>
      <c r="J30" s="937"/>
      <c r="K30" s="938"/>
      <c r="L30" s="965"/>
      <c r="M30" s="965"/>
      <c r="N30" s="965"/>
      <c r="O30" s="931"/>
    </row>
    <row r="31" spans="1:15" s="928" customFormat="1" ht="15" customHeight="1">
      <c r="A31" s="942" t="s">
        <v>865</v>
      </c>
      <c r="B31" s="573" t="s">
        <v>876</v>
      </c>
      <c r="C31" s="944">
        <f ca="1">'3.0수량표'!I34</f>
        <v>0.04</v>
      </c>
      <c r="D31" s="573" t="s">
        <v>843</v>
      </c>
      <c r="E31" s="937">
        <f t="shared" si="0"/>
        <v>998</v>
      </c>
      <c r="F31" s="937">
        <f ca="1">'9.0중기목록'!$F$6</f>
        <v>0</v>
      </c>
      <c r="G31" s="937">
        <f t="shared" ref="G31:G36" si="1">INT(C31*F31)</f>
        <v>0</v>
      </c>
      <c r="H31" s="937">
        <f ca="1">'9.0중기목록'!$E$6</f>
        <v>0</v>
      </c>
      <c r="I31" s="937">
        <f t="shared" ref="I31:I40" si="2">INT(C31*H31)</f>
        <v>0</v>
      </c>
      <c r="J31" s="937">
        <f ca="1">'9.0중기목록'!$G$6</f>
        <v>24973</v>
      </c>
      <c r="K31" s="938">
        <f t="shared" ref="K31:K36" si="3">INT(C31*J31)</f>
        <v>998</v>
      </c>
      <c r="L31" s="993"/>
      <c r="M31" s="965"/>
      <c r="N31" s="965"/>
      <c r="O31" s="931"/>
    </row>
    <row r="32" spans="1:15" s="928" customFormat="1" ht="15" customHeight="1">
      <c r="A32" s="942" t="s">
        <v>835</v>
      </c>
      <c r="B32" s="573" t="s">
        <v>844</v>
      </c>
      <c r="C32" s="944">
        <f ca="1">'3.0수량표'!I35</f>
        <v>0.04</v>
      </c>
      <c r="D32" s="573" t="s">
        <v>843</v>
      </c>
      <c r="E32" s="937">
        <f t="shared" si="0"/>
        <v>2191</v>
      </c>
      <c r="F32" s="937">
        <f ca="1">'9.0중기목록'!$F$8</f>
        <v>29577</v>
      </c>
      <c r="G32" s="937">
        <f t="shared" si="1"/>
        <v>1183</v>
      </c>
      <c r="H32" s="937">
        <f ca="1">'9.0중기목록'!$E$8</f>
        <v>20561</v>
      </c>
      <c r="I32" s="937">
        <f t="shared" si="2"/>
        <v>822</v>
      </c>
      <c r="J32" s="937">
        <f ca="1">'9.0중기목록'!$G$8</f>
        <v>4656</v>
      </c>
      <c r="K32" s="938">
        <f t="shared" si="3"/>
        <v>186</v>
      </c>
      <c r="L32" s="994"/>
      <c r="M32" s="995"/>
      <c r="N32" s="965"/>
      <c r="O32" s="931"/>
    </row>
    <row r="33" spans="1:16" s="928" customFormat="1" ht="15" customHeight="1">
      <c r="A33" s="942" t="s">
        <v>38</v>
      </c>
      <c r="B33" s="573" t="s">
        <v>39</v>
      </c>
      <c r="C33" s="944">
        <f ca="1">'3.0수량표'!I36</f>
        <v>0.04</v>
      </c>
      <c r="D33" s="573" t="s">
        <v>843</v>
      </c>
      <c r="E33" s="937">
        <f t="shared" si="0"/>
        <v>1713</v>
      </c>
      <c r="F33" s="937">
        <f ca="1">'9.0중기목록'!$F$10</f>
        <v>23409</v>
      </c>
      <c r="G33" s="937">
        <f t="shared" si="1"/>
        <v>936</v>
      </c>
      <c r="H33" s="937">
        <f ca="1">'9.0중기목록'!$E$10</f>
        <v>14915</v>
      </c>
      <c r="I33" s="937">
        <f t="shared" si="2"/>
        <v>596</v>
      </c>
      <c r="J33" s="937">
        <f ca="1">'9.0중기목록'!$G$10</f>
        <v>4533</v>
      </c>
      <c r="K33" s="938">
        <f t="shared" si="3"/>
        <v>181</v>
      </c>
      <c r="L33" s="965"/>
      <c r="M33" s="996"/>
      <c r="N33" s="965"/>
      <c r="O33" s="931"/>
    </row>
    <row r="34" spans="1:16" s="928" customFormat="1" ht="15" customHeight="1">
      <c r="A34" s="943" t="s">
        <v>864</v>
      </c>
      <c r="B34" s="573" t="s">
        <v>868</v>
      </c>
      <c r="C34" s="944">
        <f ca="1">'3.0수량표'!I37</f>
        <v>0.05</v>
      </c>
      <c r="D34" s="573" t="s">
        <v>843</v>
      </c>
      <c r="E34" s="937">
        <f t="shared" si="0"/>
        <v>1734</v>
      </c>
      <c r="F34" s="937">
        <f ca="1">'9.0중기목록'!$F$12</f>
        <v>6640</v>
      </c>
      <c r="G34" s="937">
        <f t="shared" si="1"/>
        <v>332</v>
      </c>
      <c r="H34" s="937">
        <f ca="1">'9.0중기목록'!$E$12</f>
        <v>17696</v>
      </c>
      <c r="I34" s="937">
        <f t="shared" si="2"/>
        <v>884</v>
      </c>
      <c r="J34" s="937">
        <f ca="1">'9.0중기목록'!$G$12</f>
        <v>10362</v>
      </c>
      <c r="K34" s="938">
        <f t="shared" si="3"/>
        <v>518</v>
      </c>
      <c r="L34" s="965"/>
      <c r="M34" s="965"/>
      <c r="N34" s="965"/>
      <c r="O34" s="931"/>
    </row>
    <row r="35" spans="1:16" s="928" customFormat="1" ht="15" customHeight="1">
      <c r="A35" s="576" t="s">
        <v>2220</v>
      </c>
      <c r="B35" s="573" t="s">
        <v>847</v>
      </c>
      <c r="C35" s="944">
        <f ca="1">'3.0수량표'!I38</f>
        <v>0.04</v>
      </c>
      <c r="D35" s="573" t="s">
        <v>843</v>
      </c>
      <c r="E35" s="937">
        <f t="shared" si="0"/>
        <v>1543</v>
      </c>
      <c r="F35" s="937">
        <f ca="1">'9.0중기목록'!$F$14</f>
        <v>13117</v>
      </c>
      <c r="G35" s="937">
        <f t="shared" si="1"/>
        <v>524</v>
      </c>
      <c r="H35" s="937">
        <f ca="1">'9.0중기목록'!$E$14</f>
        <v>17696</v>
      </c>
      <c r="I35" s="937">
        <f t="shared" si="2"/>
        <v>707</v>
      </c>
      <c r="J35" s="937">
        <f ca="1">'9.0중기목록'!$G$14</f>
        <v>7823</v>
      </c>
      <c r="K35" s="938">
        <f t="shared" si="3"/>
        <v>312</v>
      </c>
      <c r="L35" s="965"/>
      <c r="M35" s="965"/>
      <c r="N35" s="965"/>
      <c r="O35" s="931"/>
    </row>
    <row r="36" spans="1:16" s="928" customFormat="1" ht="15" customHeight="1">
      <c r="A36" s="942" t="s">
        <v>836</v>
      </c>
      <c r="B36" s="573" t="s">
        <v>40</v>
      </c>
      <c r="C36" s="944">
        <f ca="1">'3.0수량표'!I39</f>
        <v>0.04</v>
      </c>
      <c r="D36" s="573" t="s">
        <v>843</v>
      </c>
      <c r="E36" s="937">
        <f t="shared" si="0"/>
        <v>1430</v>
      </c>
      <c r="F36" s="937">
        <f ca="1">'9.0중기목록'!$F$16</f>
        <v>11978</v>
      </c>
      <c r="G36" s="937">
        <f t="shared" si="1"/>
        <v>479</v>
      </c>
      <c r="H36" s="937">
        <f ca="1">'9.0중기목록'!$E$16</f>
        <v>17696</v>
      </c>
      <c r="I36" s="937">
        <f t="shared" si="2"/>
        <v>707</v>
      </c>
      <c r="J36" s="937">
        <f ca="1">'9.0중기목록'!$G$16</f>
        <v>6117</v>
      </c>
      <c r="K36" s="938">
        <f t="shared" si="3"/>
        <v>244</v>
      </c>
      <c r="L36" s="965"/>
      <c r="M36" s="965"/>
      <c r="N36" s="965"/>
      <c r="O36" s="931"/>
    </row>
    <row r="37" spans="1:16" s="928" customFormat="1" ht="15" customHeight="1">
      <c r="A37" s="576" t="s">
        <v>837</v>
      </c>
      <c r="B37" s="573"/>
      <c r="C37" s="944">
        <f ca="1">'3.0수량표'!I40</f>
        <v>6.0000000000000001E-3</v>
      </c>
      <c r="D37" s="573" t="s">
        <v>1221</v>
      </c>
      <c r="E37" s="937">
        <f t="shared" si="0"/>
        <v>553</v>
      </c>
      <c r="F37" s="937"/>
      <c r="G37" s="937"/>
      <c r="H37" s="937">
        <f ca="1">'11.0시중노임'!$F$4</f>
        <v>92218</v>
      </c>
      <c r="I37" s="937">
        <f t="shared" si="2"/>
        <v>553</v>
      </c>
      <c r="J37" s="937"/>
      <c r="K37" s="938"/>
      <c r="L37" s="965"/>
      <c r="M37" s="965"/>
      <c r="N37" s="965"/>
      <c r="O37" s="931"/>
    </row>
    <row r="38" spans="1:16" s="928" customFormat="1" ht="15" customHeight="1">
      <c r="A38" s="576" t="s">
        <v>1422</v>
      </c>
      <c r="B38" s="573"/>
      <c r="C38" s="944">
        <f ca="1">'3.0수량표'!I41</f>
        <v>2.7E-2</v>
      </c>
      <c r="D38" s="573" t="s">
        <v>1221</v>
      </c>
      <c r="E38" s="937">
        <f t="shared" si="0"/>
        <v>2278</v>
      </c>
      <c r="F38" s="937"/>
      <c r="G38" s="937"/>
      <c r="H38" s="937">
        <f ca="1">'11.0시중노임'!$F$5</f>
        <v>84404</v>
      </c>
      <c r="I38" s="937">
        <f t="shared" si="2"/>
        <v>2278</v>
      </c>
      <c r="J38" s="937"/>
      <c r="K38" s="938"/>
      <c r="L38" s="965"/>
      <c r="M38" s="965"/>
      <c r="N38" s="965"/>
      <c r="O38" s="931"/>
    </row>
    <row r="39" spans="1:16" s="928" customFormat="1" ht="15" customHeight="1">
      <c r="A39" s="576" t="s">
        <v>848</v>
      </c>
      <c r="B39" s="573"/>
      <c r="C39" s="944">
        <f ca="1">'3.0수량표'!I42</f>
        <v>6.0000000000000001E-3</v>
      </c>
      <c r="D39" s="573" t="s">
        <v>1221</v>
      </c>
      <c r="E39" s="937">
        <f t="shared" si="0"/>
        <v>519</v>
      </c>
      <c r="F39" s="937"/>
      <c r="G39" s="937"/>
      <c r="H39" s="937">
        <f ca="1">'11.0시중노임'!$F$12</f>
        <v>86521</v>
      </c>
      <c r="I39" s="937">
        <f t="shared" si="2"/>
        <v>519</v>
      </c>
      <c r="J39" s="937"/>
      <c r="K39" s="938"/>
      <c r="L39" s="965"/>
      <c r="M39" s="965"/>
      <c r="N39" s="965"/>
      <c r="O39" s="931"/>
    </row>
    <row r="40" spans="1:16" s="928" customFormat="1" ht="15" customHeight="1">
      <c r="A40" s="576" t="s">
        <v>839</v>
      </c>
      <c r="B40" s="573"/>
      <c r="C40" s="944">
        <f ca="1">'3.0수량표'!I43</f>
        <v>5.1999999999999998E-2</v>
      </c>
      <c r="D40" s="573" t="s">
        <v>1221</v>
      </c>
      <c r="E40" s="937">
        <f t="shared" si="0"/>
        <v>3586</v>
      </c>
      <c r="F40" s="937"/>
      <c r="G40" s="937"/>
      <c r="H40" s="937">
        <f ca="1">'11.0시중노임'!$F$6</f>
        <v>68965</v>
      </c>
      <c r="I40" s="937">
        <f t="shared" si="2"/>
        <v>3586</v>
      </c>
      <c r="J40" s="937"/>
      <c r="K40" s="938"/>
      <c r="L40" s="965"/>
      <c r="M40" s="965"/>
      <c r="N40" s="965"/>
      <c r="O40" s="931"/>
    </row>
    <row r="41" spans="1:16" s="928" customFormat="1" ht="15" customHeight="1">
      <c r="A41" s="576" t="s">
        <v>840</v>
      </c>
      <c r="B41" s="573" t="s">
        <v>980</v>
      </c>
      <c r="C41" s="992">
        <f ca="1">'3.0수량표'!D44</f>
        <v>2</v>
      </c>
      <c r="D41" s="573" t="s">
        <v>861</v>
      </c>
      <c r="E41" s="937">
        <f t="shared" si="0"/>
        <v>138</v>
      </c>
      <c r="F41" s="937"/>
      <c r="G41" s="937"/>
      <c r="H41" s="937"/>
      <c r="I41" s="937"/>
      <c r="J41" s="937">
        <f>SUM(I37:I40)</f>
        <v>6936</v>
      </c>
      <c r="K41" s="938">
        <f>INT(C41*J41/100)</f>
        <v>138</v>
      </c>
      <c r="L41" s="965"/>
      <c r="M41" s="965"/>
      <c r="N41" s="965"/>
      <c r="O41" s="931"/>
    </row>
    <row r="42" spans="1:16" s="956" customFormat="1" ht="15" customHeight="1">
      <c r="A42" s="971" t="s">
        <v>849</v>
      </c>
      <c r="B42" s="986"/>
      <c r="C42" s="987"/>
      <c r="D42" s="986"/>
      <c r="E42" s="973">
        <f t="shared" si="0"/>
        <v>32725</v>
      </c>
      <c r="F42" s="973"/>
      <c r="G42" s="973">
        <f>SUM(G25:G41)</f>
        <v>19496</v>
      </c>
      <c r="H42" s="973"/>
      <c r="I42" s="973">
        <f>SUM(I25:I41)</f>
        <v>10652</v>
      </c>
      <c r="J42" s="973"/>
      <c r="K42" s="988">
        <f>SUM(K25:K41)</f>
        <v>2577</v>
      </c>
      <c r="L42" s="965"/>
      <c r="M42" s="965"/>
      <c r="N42" s="965"/>
      <c r="O42" s="931"/>
      <c r="P42" s="928"/>
    </row>
    <row r="43" spans="1:16" s="956" customFormat="1" ht="15" customHeight="1">
      <c r="A43" s="971"/>
      <c r="B43" s="986"/>
      <c r="C43" s="987"/>
      <c r="D43" s="986"/>
      <c r="E43" s="973"/>
      <c r="F43" s="973"/>
      <c r="G43" s="973"/>
      <c r="H43" s="973"/>
      <c r="I43" s="973"/>
      <c r="J43" s="973"/>
      <c r="K43" s="988"/>
      <c r="L43" s="965"/>
      <c r="M43" s="965"/>
      <c r="N43" s="965"/>
      <c r="O43" s="931"/>
      <c r="P43" s="928"/>
    </row>
    <row r="44" spans="1:16" s="928" customFormat="1" ht="15" customHeight="1">
      <c r="A44" s="990"/>
      <c r="B44" s="945" t="s">
        <v>981</v>
      </c>
      <c r="C44" s="945"/>
      <c r="D44" s="573"/>
      <c r="E44" s="937"/>
      <c r="F44" s="945"/>
      <c r="G44" s="945"/>
      <c r="H44" s="945"/>
      <c r="I44" s="945"/>
      <c r="J44" s="945"/>
      <c r="K44" s="991"/>
      <c r="L44" s="965"/>
      <c r="M44" s="965"/>
      <c r="N44" s="965"/>
      <c r="O44" s="931"/>
    </row>
    <row r="45" spans="1:16" s="956" customFormat="1" ht="15" customHeight="1">
      <c r="A45" s="951" t="s">
        <v>886</v>
      </c>
      <c r="B45" s="952"/>
      <c r="C45" s="952"/>
      <c r="D45" s="953"/>
      <c r="E45" s="954">
        <f>E42+E23+E16+E10</f>
        <v>43342</v>
      </c>
      <c r="F45" s="954"/>
      <c r="G45" s="954">
        <f>G42+G23+G16+G10</f>
        <v>23465</v>
      </c>
      <c r="H45" s="954"/>
      <c r="I45" s="954">
        <f>I42+I23+I16+I10</f>
        <v>17163</v>
      </c>
      <c r="J45" s="954"/>
      <c r="K45" s="955">
        <f>K42+K23+K16+K10</f>
        <v>2714</v>
      </c>
      <c r="L45" s="965"/>
      <c r="M45" s="965"/>
      <c r="N45" s="965"/>
      <c r="O45" s="931"/>
      <c r="P45" s="928"/>
    </row>
  </sheetData>
  <mergeCells count="9">
    <mergeCell ref="A1:K1"/>
    <mergeCell ref="J3:K3"/>
    <mergeCell ref="E3:E4"/>
    <mergeCell ref="F3:G3"/>
    <mergeCell ref="H3:I3"/>
    <mergeCell ref="A3:A4"/>
    <mergeCell ref="B3:B4"/>
    <mergeCell ref="C3:C4"/>
    <mergeCell ref="D3:D4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>
    <oddFooter xml:space="preserve">&amp;R&amp;10 
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P45"/>
  <sheetViews>
    <sheetView zoomScaleSheetLayoutView="90" workbookViewId="0">
      <selection sqref="A1:IV65536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11" width="6.33203125" style="908" customWidth="1"/>
    <col min="12" max="14" width="8.88671875" style="963"/>
    <col min="15" max="16384" width="8.88671875" style="908"/>
  </cols>
  <sheetData>
    <row r="1" spans="1:16" ht="26.1" customHeight="1">
      <c r="A1" s="1669" t="s">
        <v>1958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  <c r="P1" s="928"/>
    </row>
    <row r="2" spans="1:16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1959</v>
      </c>
      <c r="L2" s="964"/>
      <c r="M2" s="964"/>
      <c r="N2" s="964"/>
    </row>
    <row r="3" spans="1:16" s="928" customFormat="1" ht="20.100000000000001" customHeight="1">
      <c r="A3" s="1689" t="s">
        <v>1960</v>
      </c>
      <c r="B3" s="1670" t="s">
        <v>1961</v>
      </c>
      <c r="C3" s="1670" t="s">
        <v>1962</v>
      </c>
      <c r="D3" s="1670" t="s">
        <v>1963</v>
      </c>
      <c r="E3" s="1672" t="s">
        <v>1964</v>
      </c>
      <c r="F3" s="1670" t="s">
        <v>1965</v>
      </c>
      <c r="G3" s="1670"/>
      <c r="H3" s="1670" t="s">
        <v>1966</v>
      </c>
      <c r="I3" s="1670"/>
      <c r="J3" s="1670" t="s">
        <v>1967</v>
      </c>
      <c r="K3" s="1674"/>
      <c r="L3" s="964"/>
      <c r="M3" s="964"/>
      <c r="N3" s="964"/>
    </row>
    <row r="4" spans="1:16" s="931" customFormat="1" ht="20.100000000000001" customHeight="1">
      <c r="A4" s="1690"/>
      <c r="B4" s="1671"/>
      <c r="C4" s="1671"/>
      <c r="D4" s="1671"/>
      <c r="E4" s="1673"/>
      <c r="F4" s="929" t="s">
        <v>1968</v>
      </c>
      <c r="G4" s="929" t="s">
        <v>1969</v>
      </c>
      <c r="H4" s="929" t="s">
        <v>1968</v>
      </c>
      <c r="I4" s="929" t="s">
        <v>1969</v>
      </c>
      <c r="J4" s="929" t="s">
        <v>1968</v>
      </c>
      <c r="K4" s="930" t="s">
        <v>1969</v>
      </c>
      <c r="L4" s="965"/>
      <c r="M4" s="965"/>
      <c r="N4" s="965"/>
      <c r="P4" s="928"/>
    </row>
    <row r="5" spans="1:16" s="969" customFormat="1" ht="15" customHeight="1">
      <c r="A5" s="966" t="s">
        <v>1970</v>
      </c>
      <c r="B5" s="967"/>
      <c r="C5" s="967"/>
      <c r="D5" s="967"/>
      <c r="E5" s="967"/>
      <c r="F5" s="967"/>
      <c r="G5" s="967"/>
      <c r="H5" s="967"/>
      <c r="I5" s="967"/>
      <c r="J5" s="967"/>
      <c r="K5" s="968"/>
      <c r="P5" s="928"/>
    </row>
    <row r="6" spans="1:16" s="969" customFormat="1" ht="15" customHeight="1">
      <c r="A6" s="943" t="s">
        <v>1971</v>
      </c>
      <c r="B6" s="970" t="s">
        <v>1972</v>
      </c>
      <c r="C6" s="945">
        <f ca="1">'3.0수량표'!H5</f>
        <v>1.9E-2</v>
      </c>
      <c r="D6" s="573" t="s">
        <v>1973</v>
      </c>
      <c r="E6" s="937">
        <f>G6+I6+K6</f>
        <v>813</v>
      </c>
      <c r="F6" s="937">
        <f ca="1">'9.0중기목록'!$F$10</f>
        <v>23409</v>
      </c>
      <c r="G6" s="937">
        <f ca="1">INT(C6*F6)</f>
        <v>444</v>
      </c>
      <c r="H6" s="937">
        <f ca="1">'9.0중기목록'!$E$10</f>
        <v>14915</v>
      </c>
      <c r="I6" s="937">
        <f ca="1">INT(C6*H6)</f>
        <v>283</v>
      </c>
      <c r="J6" s="937">
        <f ca="1">'9.0중기목록'!$G$10</f>
        <v>4533</v>
      </c>
      <c r="K6" s="938">
        <f>INT(C6*J6)</f>
        <v>86</v>
      </c>
      <c r="P6" s="928"/>
    </row>
    <row r="7" spans="1:16" s="969" customFormat="1" ht="15" customHeight="1">
      <c r="A7" s="943" t="s">
        <v>1974</v>
      </c>
      <c r="B7" s="970"/>
      <c r="C7" s="945">
        <f ca="1">'3.0수량표'!H6</f>
        <v>1.2E-2</v>
      </c>
      <c r="D7" s="967" t="s">
        <v>1975</v>
      </c>
      <c r="E7" s="937">
        <f>G7+I7+K7</f>
        <v>954</v>
      </c>
      <c r="F7" s="937"/>
      <c r="G7" s="937"/>
      <c r="H7" s="937">
        <f ca="1">'11.0시중노임'!$F$3</f>
        <v>79533</v>
      </c>
      <c r="I7" s="937">
        <f>INT(C7*H7)</f>
        <v>954</v>
      </c>
      <c r="J7" s="967"/>
      <c r="K7" s="968"/>
      <c r="P7" s="928"/>
    </row>
    <row r="8" spans="1:16" s="969" customFormat="1" ht="15" customHeight="1">
      <c r="A8" s="943" t="s">
        <v>1976</v>
      </c>
      <c r="B8" s="970"/>
      <c r="C8" s="945">
        <f ca="1">'3.0수량표'!H7</f>
        <v>1.2E-2</v>
      </c>
      <c r="D8" s="967" t="s">
        <v>1975</v>
      </c>
      <c r="E8" s="937">
        <f>G8+I8+K8</f>
        <v>827</v>
      </c>
      <c r="F8" s="937"/>
      <c r="G8" s="937"/>
      <c r="H8" s="937">
        <f ca="1">'11.0시중노임'!$F$6</f>
        <v>68965</v>
      </c>
      <c r="I8" s="937">
        <f>INT(C8*H8)</f>
        <v>827</v>
      </c>
      <c r="J8" s="967"/>
      <c r="K8" s="968"/>
      <c r="P8" s="928"/>
    </row>
    <row r="9" spans="1:16" s="969" customFormat="1" ht="15" customHeight="1">
      <c r="A9" s="943" t="s">
        <v>1977</v>
      </c>
      <c r="B9" s="573" t="s">
        <v>1978</v>
      </c>
      <c r="C9" s="945">
        <f ca="1">'3.0수량표'!H8</f>
        <v>2.5</v>
      </c>
      <c r="D9" s="573" t="s">
        <v>1979</v>
      </c>
      <c r="E9" s="937">
        <f>G9+I9+K9</f>
        <v>51</v>
      </c>
      <c r="F9" s="937"/>
      <c r="G9" s="937"/>
      <c r="H9" s="937"/>
      <c r="I9" s="937"/>
      <c r="J9" s="937">
        <f>SUM(I6:I8)</f>
        <v>2064</v>
      </c>
      <c r="K9" s="938">
        <f>INT(C9*J9/100)</f>
        <v>51</v>
      </c>
      <c r="P9" s="928"/>
    </row>
    <row r="10" spans="1:16" s="976" customFormat="1" ht="15" customHeight="1">
      <c r="A10" s="971" t="s">
        <v>1980</v>
      </c>
      <c r="B10" s="972"/>
      <c r="C10" s="972"/>
      <c r="D10" s="972"/>
      <c r="E10" s="973">
        <f>G10+I10+K10</f>
        <v>2645</v>
      </c>
      <c r="F10" s="972"/>
      <c r="G10" s="974">
        <f>SUM(G6:G9)</f>
        <v>444</v>
      </c>
      <c r="H10" s="972"/>
      <c r="I10" s="974">
        <f>SUM(I6:I9)</f>
        <v>2064</v>
      </c>
      <c r="J10" s="972"/>
      <c r="K10" s="975">
        <f>SUM(K6:K9)</f>
        <v>137</v>
      </c>
      <c r="P10" s="928"/>
    </row>
    <row r="11" spans="1:16" s="969" customFormat="1" ht="15" customHeight="1">
      <c r="A11" s="966" t="s">
        <v>1981</v>
      </c>
      <c r="B11" s="967"/>
      <c r="C11" s="967"/>
      <c r="D11" s="967"/>
      <c r="E11" s="967"/>
      <c r="F11" s="967"/>
      <c r="G11" s="967"/>
      <c r="H11" s="967"/>
      <c r="I11" s="967"/>
      <c r="J11" s="967"/>
      <c r="K11" s="968"/>
      <c r="P11" s="928"/>
    </row>
    <row r="12" spans="1:16" s="969" customFormat="1" ht="15" customHeight="1">
      <c r="A12" s="942" t="s">
        <v>1982</v>
      </c>
      <c r="B12" s="967" t="s">
        <v>1983</v>
      </c>
      <c r="C12" s="967">
        <f ca="1">'3.0수량표'!H10</f>
        <v>0.23</v>
      </c>
      <c r="D12" s="967" t="s">
        <v>1984</v>
      </c>
      <c r="E12" s="937">
        <f>G12+I12+K12</f>
        <v>207</v>
      </c>
      <c r="F12" s="937">
        <f ca="1">'8.0자재단가'!$I$17</f>
        <v>900</v>
      </c>
      <c r="G12" s="937">
        <f>INT(C12*F12)</f>
        <v>207</v>
      </c>
      <c r="H12" s="967"/>
      <c r="I12" s="967"/>
      <c r="J12" s="967"/>
      <c r="K12" s="968"/>
      <c r="P12" s="928"/>
    </row>
    <row r="13" spans="1:16" s="969" customFormat="1" ht="15" customHeight="1">
      <c r="A13" s="942" t="s">
        <v>1985</v>
      </c>
      <c r="B13" s="967" t="s">
        <v>1986</v>
      </c>
      <c r="C13" s="967">
        <f ca="1">'3.0수량표'!H11</f>
        <v>0.5</v>
      </c>
      <c r="D13" s="967" t="s">
        <v>1984</v>
      </c>
      <c r="E13" s="937">
        <f>G13+I13+K13</f>
        <v>250</v>
      </c>
      <c r="F13" s="937">
        <f ca="1">'8.0자재단가'!I16</f>
        <v>500</v>
      </c>
      <c r="G13" s="937">
        <f>INT(C13*F13)</f>
        <v>250</v>
      </c>
      <c r="H13" s="967"/>
      <c r="I13" s="967"/>
      <c r="J13" s="967"/>
      <c r="K13" s="968"/>
      <c r="P13" s="928"/>
    </row>
    <row r="14" spans="1:16" s="969" customFormat="1" ht="15" customHeight="1">
      <c r="A14" s="942" t="s">
        <v>1987</v>
      </c>
      <c r="B14" s="967"/>
      <c r="C14" s="967">
        <f ca="1">'3.0수량표'!H12</f>
        <v>6.0000000000000001E-3</v>
      </c>
      <c r="D14" s="967" t="s">
        <v>1975</v>
      </c>
      <c r="E14" s="937">
        <f>G14+I14+K14</f>
        <v>506</v>
      </c>
      <c r="F14" s="937"/>
      <c r="G14" s="937"/>
      <c r="H14" s="937">
        <f ca="1">'11.0시중노임'!$F$5</f>
        <v>84404</v>
      </c>
      <c r="I14" s="937">
        <f>INT(C14*H14)</f>
        <v>506</v>
      </c>
      <c r="J14" s="967"/>
      <c r="K14" s="968"/>
      <c r="P14" s="928"/>
    </row>
    <row r="15" spans="1:16" s="969" customFormat="1" ht="15" customHeight="1">
      <c r="A15" s="942" t="s">
        <v>1988</v>
      </c>
      <c r="B15" s="967"/>
      <c r="C15" s="967">
        <f ca="1">'3.0수량표'!H13</f>
        <v>6.0000000000000001E-3</v>
      </c>
      <c r="D15" s="967" t="s">
        <v>1975</v>
      </c>
      <c r="E15" s="937">
        <f>G15+I15+K15</f>
        <v>413</v>
      </c>
      <c r="F15" s="937"/>
      <c r="G15" s="937"/>
      <c r="H15" s="937">
        <f ca="1">'11.0시중노임'!$F$6</f>
        <v>68965</v>
      </c>
      <c r="I15" s="937">
        <f>INT(C15*H15)</f>
        <v>413</v>
      </c>
      <c r="J15" s="967"/>
      <c r="K15" s="968"/>
      <c r="P15" s="928"/>
    </row>
    <row r="16" spans="1:16" s="969" customFormat="1" ht="15" customHeight="1">
      <c r="A16" s="971" t="s">
        <v>1980</v>
      </c>
      <c r="B16" s="972"/>
      <c r="C16" s="945"/>
      <c r="D16" s="972"/>
      <c r="E16" s="973">
        <f>G16+I16+K16</f>
        <v>1376</v>
      </c>
      <c r="F16" s="972"/>
      <c r="G16" s="974">
        <f>SUM(G11:G15)</f>
        <v>457</v>
      </c>
      <c r="H16" s="972"/>
      <c r="I16" s="974">
        <f>SUM(I11:I15)</f>
        <v>919</v>
      </c>
      <c r="J16" s="972"/>
      <c r="K16" s="968"/>
      <c r="P16" s="928"/>
    </row>
    <row r="17" spans="1:16" s="965" customFormat="1" ht="15" customHeight="1">
      <c r="A17" s="966" t="s">
        <v>1989</v>
      </c>
      <c r="B17" s="967"/>
      <c r="C17" s="967"/>
      <c r="D17" s="967"/>
      <c r="E17" s="967"/>
      <c r="F17" s="967"/>
      <c r="G17" s="967"/>
      <c r="H17" s="967"/>
      <c r="I17" s="967"/>
      <c r="J17" s="967"/>
      <c r="K17" s="968"/>
      <c r="P17" s="928"/>
    </row>
    <row r="18" spans="1:16" s="969" customFormat="1" ht="15" customHeight="1">
      <c r="A18" s="943" t="s">
        <v>1990</v>
      </c>
      <c r="B18" s="977" t="s">
        <v>1991</v>
      </c>
      <c r="C18" s="978">
        <f ca="1">'3.0수량표'!H22</f>
        <v>1.3</v>
      </c>
      <c r="D18" s="970" t="s">
        <v>1992</v>
      </c>
      <c r="E18" s="937">
        <f>G18+I18+K18</f>
        <v>2873</v>
      </c>
      <c r="F18" s="979">
        <f ca="1">'8.0자재단가'!$I$19</f>
        <v>2210</v>
      </c>
      <c r="G18" s="937">
        <f>INT(C18*F18)</f>
        <v>2873</v>
      </c>
      <c r="H18" s="967"/>
      <c r="I18" s="967"/>
      <c r="J18" s="967"/>
      <c r="K18" s="968"/>
      <c r="P18" s="928"/>
    </row>
    <row r="19" spans="1:16" s="969" customFormat="1" ht="15" customHeight="1">
      <c r="A19" s="943" t="s">
        <v>1993</v>
      </c>
      <c r="B19" s="967" t="s">
        <v>1994</v>
      </c>
      <c r="C19" s="978">
        <f ca="1">'3.0수량표'!H23</f>
        <v>1.3</v>
      </c>
      <c r="D19" s="970" t="s">
        <v>1995</v>
      </c>
      <c r="E19" s="937">
        <f>G19+I19+K19</f>
        <v>195</v>
      </c>
      <c r="F19" s="979">
        <f ca="1">'8.0자재단가'!$I$20</f>
        <v>150</v>
      </c>
      <c r="G19" s="937">
        <f>INT(C19*F19)</f>
        <v>195</v>
      </c>
      <c r="H19" s="967"/>
      <c r="I19" s="967"/>
      <c r="J19" s="967"/>
      <c r="K19" s="968"/>
    </row>
    <row r="20" spans="1:16" s="969" customFormat="1" ht="15" customHeight="1">
      <c r="A20" s="942" t="s">
        <v>1996</v>
      </c>
      <c r="B20" s="967"/>
      <c r="C20" s="980">
        <f ca="1">'3.0수량표'!H24</f>
        <v>5.0000000000000001E-3</v>
      </c>
      <c r="D20" s="967" t="s">
        <v>1975</v>
      </c>
      <c r="E20" s="937">
        <f>G20+I20+K20</f>
        <v>461</v>
      </c>
      <c r="F20" s="937"/>
      <c r="G20" s="937"/>
      <c r="H20" s="937">
        <f ca="1">'11.0시중노임'!$F$4</f>
        <v>92218</v>
      </c>
      <c r="I20" s="937">
        <f>INT(C20*H20)</f>
        <v>461</v>
      </c>
      <c r="J20" s="937"/>
      <c r="K20" s="938"/>
    </row>
    <row r="21" spans="1:16" s="969" customFormat="1" ht="15" customHeight="1">
      <c r="A21" s="942" t="s">
        <v>1987</v>
      </c>
      <c r="B21" s="967"/>
      <c r="C21" s="980">
        <f ca="1">'3.0수량표'!H25</f>
        <v>0.02</v>
      </c>
      <c r="D21" s="967" t="s">
        <v>1975</v>
      </c>
      <c r="E21" s="937">
        <f>G21+I21+K21</f>
        <v>1688</v>
      </c>
      <c r="F21" s="937"/>
      <c r="G21" s="937"/>
      <c r="H21" s="937">
        <f ca="1">'11.0시중노임'!$F$5</f>
        <v>84404</v>
      </c>
      <c r="I21" s="937">
        <f>INT(C21*H21)</f>
        <v>1688</v>
      </c>
      <c r="J21" s="967"/>
      <c r="K21" s="968"/>
    </row>
    <row r="22" spans="1:16" s="969" customFormat="1" ht="15" customHeight="1">
      <c r="A22" s="942" t="s">
        <v>1988</v>
      </c>
      <c r="B22" s="967"/>
      <c r="C22" s="980">
        <f ca="1">'3.0수량표'!H26</f>
        <v>0.02</v>
      </c>
      <c r="D22" s="967" t="s">
        <v>1975</v>
      </c>
      <c r="E22" s="937">
        <f>G22+I22+K22</f>
        <v>1379</v>
      </c>
      <c r="F22" s="937"/>
      <c r="G22" s="937"/>
      <c r="H22" s="937">
        <f ca="1">'11.0시중노임'!$F$6</f>
        <v>68965</v>
      </c>
      <c r="I22" s="937">
        <f>INT(C22*H22)</f>
        <v>1379</v>
      </c>
      <c r="J22" s="967"/>
      <c r="K22" s="968"/>
    </row>
    <row r="23" spans="1:16" s="976" customFormat="1" ht="15" customHeight="1">
      <c r="A23" s="971" t="s">
        <v>1980</v>
      </c>
      <c r="B23" s="972"/>
      <c r="C23" s="972"/>
      <c r="D23" s="972"/>
      <c r="E23" s="974">
        <f>SUM(E18:E22)</f>
        <v>6596</v>
      </c>
      <c r="F23" s="972"/>
      <c r="G23" s="974">
        <f>SUM(G18:G22)</f>
        <v>3068</v>
      </c>
      <c r="H23" s="972"/>
      <c r="I23" s="974">
        <f>SUM(I18:I22)</f>
        <v>3528</v>
      </c>
      <c r="J23" s="972"/>
      <c r="K23" s="981"/>
    </row>
    <row r="24" spans="1:16" s="965" customFormat="1" ht="15" customHeight="1">
      <c r="A24" s="966" t="s">
        <v>1997</v>
      </c>
      <c r="B24" s="967"/>
      <c r="C24" s="967"/>
      <c r="D24" s="967"/>
      <c r="E24" s="967"/>
      <c r="F24" s="967"/>
      <c r="G24" s="967"/>
      <c r="H24" s="967"/>
      <c r="I24" s="967"/>
      <c r="J24" s="967"/>
      <c r="K24" s="968"/>
    </row>
    <row r="25" spans="1:16" s="931" customFormat="1" ht="15" customHeight="1">
      <c r="A25" s="576" t="s">
        <v>1998</v>
      </c>
      <c r="B25" s="573" t="s">
        <v>1999</v>
      </c>
      <c r="C25" s="982">
        <f ca="1">'3.0수량표'!J28</f>
        <v>90</v>
      </c>
      <c r="D25" s="573" t="s">
        <v>2000</v>
      </c>
      <c r="E25" s="937">
        <f t="shared" ref="E25:E42" si="0">G25+I25+K25</f>
        <v>13500</v>
      </c>
      <c r="F25" s="937">
        <f ca="1">'8.0자재단가'!$I$8</f>
        <v>150</v>
      </c>
      <c r="G25" s="937">
        <f>INT(C25*F25)</f>
        <v>13500</v>
      </c>
      <c r="H25" s="937"/>
      <c r="I25" s="937"/>
      <c r="J25" s="937"/>
      <c r="K25" s="938"/>
      <c r="L25" s="965"/>
      <c r="M25" s="965"/>
      <c r="N25" s="965"/>
    </row>
    <row r="26" spans="1:16" s="928" customFormat="1" ht="15" customHeight="1">
      <c r="A26" s="932" t="s">
        <v>2001</v>
      </c>
      <c r="B26" s="573" t="s">
        <v>2002</v>
      </c>
      <c r="C26" s="982">
        <f ca="1">'3.0수량표'!J29</f>
        <v>21.999999999999996</v>
      </c>
      <c r="D26" s="573" t="s">
        <v>2000</v>
      </c>
      <c r="E26" s="937">
        <f t="shared" si="0"/>
        <v>3740</v>
      </c>
      <c r="F26" s="937">
        <f ca="1">'8.0자재단가'!$I$9</f>
        <v>170</v>
      </c>
      <c r="G26" s="937">
        <f>INT(C26*F26)</f>
        <v>3740</v>
      </c>
      <c r="H26" s="937"/>
      <c r="I26" s="937"/>
      <c r="J26" s="937"/>
      <c r="K26" s="938"/>
      <c r="L26" s="964"/>
      <c r="M26" s="964"/>
      <c r="N26" s="964"/>
    </row>
    <row r="27" spans="1:16" s="928" customFormat="1" ht="15" customHeight="1">
      <c r="A27" s="576" t="s">
        <v>2003</v>
      </c>
      <c r="B27" s="939" t="s">
        <v>2004</v>
      </c>
      <c r="C27" s="982">
        <f ca="1">'3.0수량표'!J30</f>
        <v>3.9999999999999996</v>
      </c>
      <c r="D27" s="573" t="s">
        <v>2005</v>
      </c>
      <c r="E27" s="937">
        <f t="shared" si="0"/>
        <v>800</v>
      </c>
      <c r="F27" s="937">
        <f ca="1">'8.0자재단가'!$I$10</f>
        <v>200</v>
      </c>
      <c r="G27" s="937">
        <f>INT(C27*F27)</f>
        <v>800</v>
      </c>
      <c r="H27" s="937"/>
      <c r="I27" s="937"/>
      <c r="J27" s="937"/>
      <c r="K27" s="938"/>
      <c r="L27" s="964"/>
      <c r="M27" s="983"/>
      <c r="N27" s="983"/>
    </row>
    <row r="28" spans="1:16" s="928" customFormat="1" ht="15" customHeight="1">
      <c r="A28" s="576" t="s">
        <v>2006</v>
      </c>
      <c r="B28" s="573" t="s">
        <v>2007</v>
      </c>
      <c r="C28" s="982">
        <f ca="1">'3.0수량표'!J31</f>
        <v>0.99999999999999989</v>
      </c>
      <c r="D28" s="573" t="s">
        <v>2005</v>
      </c>
      <c r="E28" s="937">
        <f t="shared" si="0"/>
        <v>1000</v>
      </c>
      <c r="F28" s="937">
        <f ca="1">'8.0자재단가'!$I$11</f>
        <v>1000</v>
      </c>
      <c r="G28" s="937">
        <f>INT(C28*F28)</f>
        <v>1000</v>
      </c>
      <c r="H28" s="937"/>
      <c r="I28" s="937"/>
      <c r="J28" s="937"/>
      <c r="K28" s="938"/>
      <c r="L28" s="964"/>
      <c r="M28" s="964"/>
      <c r="N28" s="964"/>
    </row>
    <row r="29" spans="1:16" s="928" customFormat="1" ht="15" customHeight="1">
      <c r="A29" s="576" t="s">
        <v>2008</v>
      </c>
      <c r="B29" s="573" t="s">
        <v>2009</v>
      </c>
      <c r="C29" s="982">
        <f ca="1">'3.0수량표'!J32</f>
        <v>30</v>
      </c>
      <c r="D29" s="573" t="s">
        <v>2010</v>
      </c>
      <c r="E29" s="937">
        <f t="shared" si="0"/>
        <v>2400</v>
      </c>
      <c r="F29" s="937">
        <f ca="1">'8.0자재단가'!$I$14</f>
        <v>80</v>
      </c>
      <c r="G29" s="937">
        <f>INT(C29*F29)</f>
        <v>2400</v>
      </c>
      <c r="H29" s="937"/>
      <c r="I29" s="937"/>
      <c r="J29" s="937"/>
      <c r="K29" s="938"/>
      <c r="L29" s="964"/>
      <c r="M29" s="964"/>
      <c r="N29" s="964"/>
    </row>
    <row r="30" spans="1:16" s="928" customFormat="1" ht="15" customHeight="1">
      <c r="A30" s="576" t="s">
        <v>2011</v>
      </c>
      <c r="B30" s="573" t="s">
        <v>2012</v>
      </c>
      <c r="C30" s="982">
        <f ca="1">'3.0수량표'!J33</f>
        <v>2</v>
      </c>
      <c r="D30" s="573" t="s">
        <v>1979</v>
      </c>
      <c r="E30" s="937">
        <f t="shared" si="0"/>
        <v>428</v>
      </c>
      <c r="F30" s="937">
        <f>SUM(G25:G29)</f>
        <v>21440</v>
      </c>
      <c r="G30" s="937">
        <f>INT(C30*F30/100)</f>
        <v>428</v>
      </c>
      <c r="H30" s="937"/>
      <c r="I30" s="937"/>
      <c r="J30" s="937"/>
      <c r="K30" s="938"/>
      <c r="L30" s="964"/>
      <c r="M30" s="984"/>
      <c r="N30" s="964"/>
    </row>
    <row r="31" spans="1:16" s="928" customFormat="1" ht="15" customHeight="1">
      <c r="A31" s="942" t="s">
        <v>2013</v>
      </c>
      <c r="B31" s="573" t="s">
        <v>2014</v>
      </c>
      <c r="C31" s="985">
        <f ca="1">'3.0수량표'!J34</f>
        <v>5.2999999999999999E-2</v>
      </c>
      <c r="D31" s="573" t="s">
        <v>1973</v>
      </c>
      <c r="E31" s="937">
        <f t="shared" si="0"/>
        <v>1323</v>
      </c>
      <c r="F31" s="937">
        <f ca="1">'9.0중기목록'!$F$6</f>
        <v>0</v>
      </c>
      <c r="G31" s="937">
        <f t="shared" ref="G31:G36" si="1">INT(C31*F31)</f>
        <v>0</v>
      </c>
      <c r="H31" s="937">
        <f ca="1">'9.0중기목록'!$E$6</f>
        <v>0</v>
      </c>
      <c r="I31" s="937">
        <f t="shared" ref="I31:I40" si="2">INT(C31*H31)</f>
        <v>0</v>
      </c>
      <c r="J31" s="937">
        <f ca="1">'9.0중기목록'!$G$6</f>
        <v>24973</v>
      </c>
      <c r="K31" s="938">
        <f t="shared" ref="K31:K36" si="3">INT(C31*J31)</f>
        <v>1323</v>
      </c>
      <c r="L31" s="964"/>
      <c r="M31" s="964"/>
      <c r="N31" s="964"/>
    </row>
    <row r="32" spans="1:16" s="928" customFormat="1" ht="15" customHeight="1">
      <c r="A32" s="942" t="s">
        <v>2015</v>
      </c>
      <c r="B32" s="573" t="s">
        <v>2016</v>
      </c>
      <c r="C32" s="985">
        <f ca="1">'3.0수량표'!J35</f>
        <v>5.2999999999999999E-2</v>
      </c>
      <c r="D32" s="573" t="s">
        <v>1973</v>
      </c>
      <c r="E32" s="937">
        <f t="shared" si="0"/>
        <v>2902</v>
      </c>
      <c r="F32" s="937">
        <f ca="1">'9.0중기목록'!$F$8</f>
        <v>29577</v>
      </c>
      <c r="G32" s="937">
        <f t="shared" si="1"/>
        <v>1567</v>
      </c>
      <c r="H32" s="937">
        <f ca="1">'9.0중기목록'!$E$8</f>
        <v>20561</v>
      </c>
      <c r="I32" s="937">
        <f t="shared" si="2"/>
        <v>1089</v>
      </c>
      <c r="J32" s="937">
        <f ca="1">'9.0중기목록'!$G$8</f>
        <v>4656</v>
      </c>
      <c r="K32" s="938">
        <f t="shared" si="3"/>
        <v>246</v>
      </c>
      <c r="L32" s="964"/>
      <c r="M32" s="964"/>
      <c r="N32" s="964"/>
    </row>
    <row r="33" spans="1:14" s="928" customFormat="1" ht="15" customHeight="1">
      <c r="A33" s="942" t="s">
        <v>2017</v>
      </c>
      <c r="B33" s="573" t="s">
        <v>2018</v>
      </c>
      <c r="C33" s="985">
        <f ca="1">'3.0수량표'!J36</f>
        <v>5.2999999999999999E-2</v>
      </c>
      <c r="D33" s="573" t="s">
        <v>1973</v>
      </c>
      <c r="E33" s="937">
        <f t="shared" si="0"/>
        <v>2270</v>
      </c>
      <c r="F33" s="937">
        <f ca="1">'9.0중기목록'!$F$10</f>
        <v>23409</v>
      </c>
      <c r="G33" s="937">
        <f t="shared" si="1"/>
        <v>1240</v>
      </c>
      <c r="H33" s="937">
        <f ca="1">'9.0중기목록'!$E$10</f>
        <v>14915</v>
      </c>
      <c r="I33" s="937">
        <f t="shared" si="2"/>
        <v>790</v>
      </c>
      <c r="J33" s="937">
        <f ca="1">'9.0중기목록'!$G$10</f>
        <v>4533</v>
      </c>
      <c r="K33" s="938">
        <f t="shared" si="3"/>
        <v>240</v>
      </c>
      <c r="L33" s="964"/>
      <c r="M33" s="964"/>
      <c r="N33" s="964"/>
    </row>
    <row r="34" spans="1:14" s="928" customFormat="1" ht="15" customHeight="1">
      <c r="A34" s="943" t="s">
        <v>2019</v>
      </c>
      <c r="B34" s="573" t="s">
        <v>2020</v>
      </c>
      <c r="C34" s="985">
        <f ca="1">'3.0수량표'!J37</f>
        <v>0.06</v>
      </c>
      <c r="D34" s="573" t="s">
        <v>1973</v>
      </c>
      <c r="E34" s="937">
        <f t="shared" si="0"/>
        <v>2080</v>
      </c>
      <c r="F34" s="937">
        <f ca="1">'9.0중기목록'!$F$12</f>
        <v>6640</v>
      </c>
      <c r="G34" s="937">
        <f t="shared" si="1"/>
        <v>398</v>
      </c>
      <c r="H34" s="937">
        <f ca="1">'9.0중기목록'!$E$12</f>
        <v>17696</v>
      </c>
      <c r="I34" s="937">
        <f t="shared" si="2"/>
        <v>1061</v>
      </c>
      <c r="J34" s="937">
        <f ca="1">'9.0중기목록'!$G$12</f>
        <v>10362</v>
      </c>
      <c r="K34" s="938">
        <f t="shared" si="3"/>
        <v>621</v>
      </c>
      <c r="L34" s="964"/>
      <c r="M34" s="964"/>
      <c r="N34" s="964"/>
    </row>
    <row r="35" spans="1:14" s="928" customFormat="1" ht="15" customHeight="1">
      <c r="A35" s="576" t="s">
        <v>2021</v>
      </c>
      <c r="B35" s="573" t="s">
        <v>2022</v>
      </c>
      <c r="C35" s="985">
        <f ca="1">'3.0수량표'!J38</f>
        <v>5.2999999999999999E-2</v>
      </c>
      <c r="D35" s="573" t="s">
        <v>1973</v>
      </c>
      <c r="E35" s="937">
        <f t="shared" si="0"/>
        <v>2046</v>
      </c>
      <c r="F35" s="937">
        <f ca="1">'9.0중기목록'!$F$14</f>
        <v>13117</v>
      </c>
      <c r="G35" s="937">
        <f t="shared" si="1"/>
        <v>695</v>
      </c>
      <c r="H35" s="937">
        <f ca="1">'9.0중기목록'!$E$14</f>
        <v>17696</v>
      </c>
      <c r="I35" s="937">
        <f t="shared" si="2"/>
        <v>937</v>
      </c>
      <c r="J35" s="937">
        <f ca="1">'9.0중기목록'!$G$14</f>
        <v>7823</v>
      </c>
      <c r="K35" s="938">
        <f t="shared" si="3"/>
        <v>414</v>
      </c>
      <c r="L35" s="964"/>
      <c r="M35" s="964"/>
      <c r="N35" s="964"/>
    </row>
    <row r="36" spans="1:14" s="928" customFormat="1" ht="15" customHeight="1">
      <c r="A36" s="942" t="s">
        <v>2023</v>
      </c>
      <c r="B36" s="573" t="s">
        <v>2024</v>
      </c>
      <c r="C36" s="985">
        <f ca="1">'3.0수량표'!J39</f>
        <v>5.2999999999999999E-2</v>
      </c>
      <c r="D36" s="573" t="s">
        <v>1973</v>
      </c>
      <c r="E36" s="937">
        <f t="shared" si="0"/>
        <v>1895</v>
      </c>
      <c r="F36" s="937">
        <f ca="1">'9.0중기목록'!$F$16</f>
        <v>11978</v>
      </c>
      <c r="G36" s="937">
        <f t="shared" si="1"/>
        <v>634</v>
      </c>
      <c r="H36" s="937">
        <f ca="1">'9.0중기목록'!$E$16</f>
        <v>17696</v>
      </c>
      <c r="I36" s="937">
        <f t="shared" si="2"/>
        <v>937</v>
      </c>
      <c r="J36" s="937">
        <f ca="1">'9.0중기목록'!$G$16</f>
        <v>6117</v>
      </c>
      <c r="K36" s="938">
        <f t="shared" si="3"/>
        <v>324</v>
      </c>
      <c r="L36" s="964"/>
      <c r="M36" s="984"/>
      <c r="N36" s="964"/>
    </row>
    <row r="37" spans="1:14" s="928" customFormat="1" ht="15" customHeight="1">
      <c r="A37" s="576" t="s">
        <v>1996</v>
      </c>
      <c r="B37" s="573"/>
      <c r="C37" s="985">
        <f ca="1">'3.0수량표'!J40</f>
        <v>8.0000000000000002E-3</v>
      </c>
      <c r="D37" s="573" t="s">
        <v>1975</v>
      </c>
      <c r="E37" s="937">
        <f t="shared" si="0"/>
        <v>737</v>
      </c>
      <c r="F37" s="937"/>
      <c r="G37" s="937"/>
      <c r="H37" s="937">
        <f ca="1">'11.0시중노임'!$F$4</f>
        <v>92218</v>
      </c>
      <c r="I37" s="937">
        <f t="shared" si="2"/>
        <v>737</v>
      </c>
      <c r="J37" s="937"/>
      <c r="K37" s="938"/>
      <c r="L37" s="964"/>
      <c r="M37" s="964"/>
      <c r="N37" s="964"/>
    </row>
    <row r="38" spans="1:14" s="928" customFormat="1" ht="15" customHeight="1">
      <c r="A38" s="576" t="s">
        <v>1987</v>
      </c>
      <c r="B38" s="573"/>
      <c r="C38" s="985">
        <f ca="1">'3.0수량표'!J41</f>
        <v>3.5000000000000003E-2</v>
      </c>
      <c r="D38" s="573" t="s">
        <v>1975</v>
      </c>
      <c r="E38" s="937">
        <f t="shared" si="0"/>
        <v>2954</v>
      </c>
      <c r="F38" s="937"/>
      <c r="G38" s="937"/>
      <c r="H38" s="937">
        <f ca="1">'11.0시중노임'!$F$5</f>
        <v>84404</v>
      </c>
      <c r="I38" s="937">
        <f t="shared" si="2"/>
        <v>2954</v>
      </c>
      <c r="J38" s="937"/>
      <c r="K38" s="938"/>
      <c r="L38" s="964"/>
      <c r="M38" s="964"/>
      <c r="N38" s="964"/>
    </row>
    <row r="39" spans="1:14" s="928" customFormat="1" ht="15" customHeight="1">
      <c r="A39" s="576" t="s">
        <v>2025</v>
      </c>
      <c r="B39" s="573"/>
      <c r="C39" s="985">
        <f ca="1">'3.0수량표'!J42</f>
        <v>8.0000000000000002E-3</v>
      </c>
      <c r="D39" s="573" t="s">
        <v>1975</v>
      </c>
      <c r="E39" s="937">
        <f t="shared" si="0"/>
        <v>692</v>
      </c>
      <c r="F39" s="937"/>
      <c r="G39" s="937"/>
      <c r="H39" s="937">
        <f ca="1">'11.0시중노임'!$F$12</f>
        <v>86521</v>
      </c>
      <c r="I39" s="937">
        <f t="shared" si="2"/>
        <v>692</v>
      </c>
      <c r="J39" s="937"/>
      <c r="K39" s="938"/>
      <c r="L39" s="964"/>
      <c r="M39" s="964"/>
      <c r="N39" s="964"/>
    </row>
    <row r="40" spans="1:14" s="928" customFormat="1" ht="15" customHeight="1">
      <c r="A40" s="576" t="s">
        <v>1988</v>
      </c>
      <c r="B40" s="573"/>
      <c r="C40" s="985">
        <f ca="1">'3.0수량표'!J43</f>
        <v>7.0000000000000007E-2</v>
      </c>
      <c r="D40" s="573" t="s">
        <v>1975</v>
      </c>
      <c r="E40" s="937">
        <f t="shared" si="0"/>
        <v>4827</v>
      </c>
      <c r="F40" s="937"/>
      <c r="G40" s="937"/>
      <c r="H40" s="937">
        <f ca="1">'11.0시중노임'!$F$6</f>
        <v>68965</v>
      </c>
      <c r="I40" s="937">
        <f t="shared" si="2"/>
        <v>4827</v>
      </c>
      <c r="J40" s="937"/>
      <c r="K40" s="938"/>
      <c r="L40" s="964"/>
      <c r="M40" s="984"/>
      <c r="N40" s="964"/>
    </row>
    <row r="41" spans="1:14" s="928" customFormat="1" ht="15" customHeight="1">
      <c r="A41" s="576" t="s">
        <v>2026</v>
      </c>
      <c r="B41" s="573" t="s">
        <v>1978</v>
      </c>
      <c r="C41" s="982">
        <f ca="1">'3.0수량표'!D44</f>
        <v>2</v>
      </c>
      <c r="D41" s="573" t="s">
        <v>1979</v>
      </c>
      <c r="E41" s="937">
        <f t="shared" si="0"/>
        <v>184</v>
      </c>
      <c r="F41" s="937"/>
      <c r="G41" s="937"/>
      <c r="H41" s="937"/>
      <c r="I41" s="937"/>
      <c r="J41" s="937">
        <f>SUM(I37:I40)</f>
        <v>9210</v>
      </c>
      <c r="K41" s="938">
        <f>INT(C41*J41/100)</f>
        <v>184</v>
      </c>
      <c r="L41" s="964"/>
      <c r="M41" s="964"/>
      <c r="N41" s="964"/>
    </row>
    <row r="42" spans="1:14" s="956" customFormat="1" ht="15" customHeight="1">
      <c r="A42" s="971" t="s">
        <v>1980</v>
      </c>
      <c r="B42" s="986"/>
      <c r="C42" s="987"/>
      <c r="D42" s="986"/>
      <c r="E42" s="973">
        <f t="shared" si="0"/>
        <v>43778</v>
      </c>
      <c r="F42" s="973"/>
      <c r="G42" s="973">
        <f>SUM(G25:G41)</f>
        <v>26402</v>
      </c>
      <c r="H42" s="973"/>
      <c r="I42" s="973">
        <f>SUM(I25:I41)</f>
        <v>14024</v>
      </c>
      <c r="J42" s="973"/>
      <c r="K42" s="988">
        <f>SUM(K25:K41)</f>
        <v>3352</v>
      </c>
      <c r="L42" s="989"/>
      <c r="M42" s="989"/>
      <c r="N42" s="989"/>
    </row>
    <row r="43" spans="1:14" s="956" customFormat="1" ht="15" customHeight="1">
      <c r="A43" s="971"/>
      <c r="B43" s="986"/>
      <c r="C43" s="987"/>
      <c r="D43" s="986"/>
      <c r="E43" s="973"/>
      <c r="F43" s="973"/>
      <c r="G43" s="973"/>
      <c r="H43" s="973"/>
      <c r="I43" s="973"/>
      <c r="J43" s="973"/>
      <c r="K43" s="988"/>
      <c r="L43" s="989"/>
      <c r="M43" s="989"/>
      <c r="N43" s="989"/>
    </row>
    <row r="44" spans="1:14" s="928" customFormat="1" ht="15" customHeight="1">
      <c r="A44" s="990"/>
      <c r="B44" s="945" t="s">
        <v>2027</v>
      </c>
      <c r="C44" s="945"/>
      <c r="D44" s="573"/>
      <c r="E44" s="937"/>
      <c r="F44" s="945"/>
      <c r="G44" s="945"/>
      <c r="H44" s="945"/>
      <c r="I44" s="945"/>
      <c r="J44" s="945"/>
      <c r="K44" s="991"/>
      <c r="L44" s="964"/>
      <c r="M44" s="964"/>
      <c r="N44" s="964"/>
    </row>
    <row r="45" spans="1:14" s="956" customFormat="1" ht="15" customHeight="1">
      <c r="A45" s="951" t="s">
        <v>2028</v>
      </c>
      <c r="B45" s="952"/>
      <c r="C45" s="952"/>
      <c r="D45" s="953"/>
      <c r="E45" s="954">
        <f>E42+E23+E16+E10</f>
        <v>54395</v>
      </c>
      <c r="F45" s="954"/>
      <c r="G45" s="954">
        <f>G42+G23+G16+G10</f>
        <v>30371</v>
      </c>
      <c r="H45" s="954"/>
      <c r="I45" s="954">
        <f>I42+I23+I16+I10</f>
        <v>20535</v>
      </c>
      <c r="J45" s="954"/>
      <c r="K45" s="955">
        <f>K42+K23+K16+K10</f>
        <v>3489</v>
      </c>
      <c r="L45" s="989"/>
      <c r="M45" s="989"/>
      <c r="N45" s="989"/>
    </row>
  </sheetData>
  <mergeCells count="9">
    <mergeCell ref="J3:K3"/>
    <mergeCell ref="A1:K1"/>
    <mergeCell ref="A3:A4"/>
    <mergeCell ref="B3:B4"/>
    <mergeCell ref="C3:C4"/>
    <mergeCell ref="D3:D4"/>
    <mergeCell ref="E3:E4"/>
    <mergeCell ref="F3:G3"/>
    <mergeCell ref="H3:I3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45"/>
  <sheetViews>
    <sheetView zoomScaleSheetLayoutView="90" workbookViewId="0">
      <selection sqref="A1:IV65536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11" width="6.33203125" style="908" customWidth="1"/>
    <col min="12" max="14" width="8.88671875" style="963"/>
    <col min="15" max="16384" width="8.88671875" style="908"/>
  </cols>
  <sheetData>
    <row r="1" spans="1:14" ht="26.1" customHeight="1">
      <c r="A1" s="1669" t="s">
        <v>1929</v>
      </c>
      <c r="B1" s="1669"/>
      <c r="C1" s="1669"/>
      <c r="D1" s="1669"/>
      <c r="E1" s="1669"/>
      <c r="F1" s="1669"/>
      <c r="G1" s="1669"/>
      <c r="H1" s="1669"/>
      <c r="I1" s="1669"/>
      <c r="J1" s="1669"/>
      <c r="K1" s="1669"/>
    </row>
    <row r="2" spans="1:14" s="928" customFormat="1" ht="13.5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1930</v>
      </c>
      <c r="L2" s="964"/>
      <c r="M2" s="964"/>
      <c r="N2" s="964"/>
    </row>
    <row r="3" spans="1:14" s="928" customFormat="1" ht="20.100000000000001" customHeight="1">
      <c r="A3" s="1689" t="s">
        <v>1931</v>
      </c>
      <c r="B3" s="1670" t="s">
        <v>1932</v>
      </c>
      <c r="C3" s="1670" t="s">
        <v>1933</v>
      </c>
      <c r="D3" s="1670" t="s">
        <v>1854</v>
      </c>
      <c r="E3" s="1672" t="s">
        <v>1934</v>
      </c>
      <c r="F3" s="1670" t="s">
        <v>1791</v>
      </c>
      <c r="G3" s="1670"/>
      <c r="H3" s="1670" t="s">
        <v>1792</v>
      </c>
      <c r="I3" s="1670"/>
      <c r="J3" s="1670" t="s">
        <v>1935</v>
      </c>
      <c r="K3" s="1674"/>
      <c r="L3" s="964"/>
      <c r="M3" s="964"/>
      <c r="N3" s="964"/>
    </row>
    <row r="4" spans="1:14" s="931" customFormat="1" ht="20.100000000000001" customHeight="1">
      <c r="A4" s="1690"/>
      <c r="B4" s="1671"/>
      <c r="C4" s="1671"/>
      <c r="D4" s="1671"/>
      <c r="E4" s="1673"/>
      <c r="F4" s="929" t="s">
        <v>1936</v>
      </c>
      <c r="G4" s="929" t="s">
        <v>1937</v>
      </c>
      <c r="H4" s="929" t="s">
        <v>1936</v>
      </c>
      <c r="I4" s="929" t="s">
        <v>1937</v>
      </c>
      <c r="J4" s="929" t="s">
        <v>1936</v>
      </c>
      <c r="K4" s="930" t="s">
        <v>1937</v>
      </c>
      <c r="L4" s="965"/>
      <c r="M4" s="965"/>
      <c r="N4" s="965"/>
    </row>
    <row r="5" spans="1:14" s="969" customFormat="1" ht="15" customHeight="1">
      <c r="A5" s="966" t="s">
        <v>1938</v>
      </c>
      <c r="B5" s="967"/>
      <c r="C5" s="967"/>
      <c r="D5" s="967"/>
      <c r="E5" s="967"/>
      <c r="F5" s="967"/>
      <c r="G5" s="967"/>
      <c r="H5" s="967"/>
      <c r="I5" s="967"/>
      <c r="J5" s="967"/>
      <c r="K5" s="968"/>
    </row>
    <row r="6" spans="1:14" s="969" customFormat="1" ht="15" customHeight="1">
      <c r="A6" s="942" t="s">
        <v>1939</v>
      </c>
      <c r="B6" s="970" t="s">
        <v>1940</v>
      </c>
      <c r="C6" s="945">
        <f ca="1">'3.0수량표'!K5</f>
        <v>2.3E-2</v>
      </c>
      <c r="D6" s="573" t="s">
        <v>1941</v>
      </c>
      <c r="E6" s="937">
        <f>G6+I6+K6</f>
        <v>985</v>
      </c>
      <c r="F6" s="937">
        <f ca="1">'9.0중기목록'!$F$10</f>
        <v>23409</v>
      </c>
      <c r="G6" s="937">
        <f ca="1">INT(C6*F6)</f>
        <v>538</v>
      </c>
      <c r="H6" s="937">
        <f ca="1">'9.0중기목록'!$E$10</f>
        <v>14915</v>
      </c>
      <c r="I6" s="937">
        <f ca="1">INT(C6*H6)</f>
        <v>343</v>
      </c>
      <c r="J6" s="937">
        <f ca="1">'9.0중기목록'!$G$10</f>
        <v>4533</v>
      </c>
      <c r="K6" s="938">
        <f>INT(C6*J6)</f>
        <v>104</v>
      </c>
    </row>
    <row r="7" spans="1:14" s="969" customFormat="1" ht="15" customHeight="1">
      <c r="A7" s="942" t="s">
        <v>1942</v>
      </c>
      <c r="B7" s="970"/>
      <c r="C7" s="944">
        <f ca="1">'3.0수량표'!K6</f>
        <v>1.4E-2</v>
      </c>
      <c r="D7" s="967" t="s">
        <v>1888</v>
      </c>
      <c r="E7" s="937">
        <f>G7+I7+K7</f>
        <v>1113</v>
      </c>
      <c r="F7" s="937"/>
      <c r="G7" s="937"/>
      <c r="H7" s="937">
        <f ca="1">'11.0시중노임'!$F$3</f>
        <v>79533</v>
      </c>
      <c r="I7" s="937">
        <f>INT(C7*H7)</f>
        <v>1113</v>
      </c>
      <c r="J7" s="967"/>
      <c r="K7" s="968"/>
    </row>
    <row r="8" spans="1:14" s="969" customFormat="1" ht="15" customHeight="1">
      <c r="A8" s="942" t="s">
        <v>1943</v>
      </c>
      <c r="B8" s="970"/>
      <c r="C8" s="944">
        <f ca="1">'3.0수량표'!K7</f>
        <v>1.4E-2</v>
      </c>
      <c r="D8" s="967" t="s">
        <v>1888</v>
      </c>
      <c r="E8" s="937">
        <f>G8+I8+K8</f>
        <v>965</v>
      </c>
      <c r="F8" s="937"/>
      <c r="G8" s="937"/>
      <c r="H8" s="937">
        <f ca="1">'11.0시중노임'!$F$6</f>
        <v>68965</v>
      </c>
      <c r="I8" s="937">
        <f>INT(C8*H8)</f>
        <v>965</v>
      </c>
      <c r="J8" s="967"/>
      <c r="K8" s="968"/>
    </row>
    <row r="9" spans="1:14" s="969" customFormat="1" ht="15" customHeight="1">
      <c r="A9" s="943" t="s">
        <v>1944</v>
      </c>
      <c r="B9" s="573" t="s">
        <v>1945</v>
      </c>
      <c r="C9" s="945">
        <f ca="1">'3.0수량표'!K8</f>
        <v>2.5</v>
      </c>
      <c r="D9" s="573" t="s">
        <v>1946</v>
      </c>
      <c r="E9" s="937">
        <f>G9+I9+K9</f>
        <v>60</v>
      </c>
      <c r="F9" s="937"/>
      <c r="G9" s="937"/>
      <c r="H9" s="937"/>
      <c r="I9" s="937"/>
      <c r="J9" s="937">
        <f>SUM(I6:I8)</f>
        <v>2421</v>
      </c>
      <c r="K9" s="938">
        <f>INT(C9*J9/100)</f>
        <v>60</v>
      </c>
    </row>
    <row r="10" spans="1:14" s="976" customFormat="1" ht="15" customHeight="1">
      <c r="A10" s="971" t="s">
        <v>1947</v>
      </c>
      <c r="B10" s="972"/>
      <c r="C10" s="972"/>
      <c r="D10" s="972"/>
      <c r="E10" s="973">
        <f>G10+I10+K10</f>
        <v>3123</v>
      </c>
      <c r="F10" s="972"/>
      <c r="G10" s="974">
        <f>SUM(G6:G9)</f>
        <v>538</v>
      </c>
      <c r="H10" s="972"/>
      <c r="I10" s="974">
        <f>SUM(I6:I9)</f>
        <v>2421</v>
      </c>
      <c r="J10" s="972"/>
      <c r="K10" s="975">
        <f>SUM(K6:K9)</f>
        <v>164</v>
      </c>
    </row>
    <row r="11" spans="1:14" s="969" customFormat="1" ht="15" customHeight="1">
      <c r="A11" s="966" t="s">
        <v>1948</v>
      </c>
      <c r="B11" s="967"/>
      <c r="C11" s="967"/>
      <c r="D11" s="967"/>
      <c r="E11" s="967"/>
      <c r="F11" s="967"/>
      <c r="G11" s="967"/>
      <c r="H11" s="967"/>
      <c r="I11" s="967"/>
      <c r="J11" s="967"/>
      <c r="K11" s="968"/>
    </row>
    <row r="12" spans="1:14" s="969" customFormat="1" ht="15" customHeight="1">
      <c r="A12" s="942" t="s">
        <v>1949</v>
      </c>
      <c r="B12" s="967" t="s">
        <v>1950</v>
      </c>
      <c r="C12" s="967">
        <f ca="1">'3.0수량표'!K10</f>
        <v>0.27600000000000002</v>
      </c>
      <c r="D12" s="967" t="s">
        <v>1951</v>
      </c>
      <c r="E12" s="937">
        <f>G12+I12+K12</f>
        <v>248</v>
      </c>
      <c r="F12" s="937">
        <f ca="1">'8.0자재단가'!$I$17</f>
        <v>900</v>
      </c>
      <c r="G12" s="937">
        <f>INT(C12*F12)</f>
        <v>248</v>
      </c>
      <c r="H12" s="967"/>
      <c r="I12" s="967"/>
      <c r="J12" s="967"/>
      <c r="K12" s="968"/>
    </row>
    <row r="13" spans="1:14" s="969" customFormat="1" ht="15" customHeight="1">
      <c r="A13" s="942" t="s">
        <v>1952</v>
      </c>
      <c r="B13" s="967" t="s">
        <v>1953</v>
      </c>
      <c r="C13" s="967">
        <f ca="1">'3.0수량표'!K11</f>
        <v>0.6</v>
      </c>
      <c r="D13" s="967" t="s">
        <v>1951</v>
      </c>
      <c r="E13" s="937">
        <f>G13+I13+K13</f>
        <v>300</v>
      </c>
      <c r="F13" s="937">
        <f ca="1">'8.0자재단가'!I16</f>
        <v>500</v>
      </c>
      <c r="G13" s="937">
        <f>INT(C13*F13)</f>
        <v>300</v>
      </c>
      <c r="H13" s="967"/>
      <c r="I13" s="967"/>
      <c r="J13" s="967"/>
      <c r="K13" s="968"/>
    </row>
    <row r="14" spans="1:14" s="969" customFormat="1" ht="15" customHeight="1">
      <c r="A14" s="942" t="s">
        <v>1954</v>
      </c>
      <c r="B14" s="967"/>
      <c r="C14" s="967">
        <f ca="1">'3.0수량표'!K12</f>
        <v>7.0000000000000001E-3</v>
      </c>
      <c r="D14" s="967" t="s">
        <v>1888</v>
      </c>
      <c r="E14" s="937">
        <f>G14+I14+K14</f>
        <v>590</v>
      </c>
      <c r="F14" s="937"/>
      <c r="G14" s="937"/>
      <c r="H14" s="937">
        <f ca="1">'11.0시중노임'!$F$5</f>
        <v>84404</v>
      </c>
      <c r="I14" s="937">
        <f>INT(C14*H14)</f>
        <v>590</v>
      </c>
      <c r="J14" s="967"/>
      <c r="K14" s="968"/>
    </row>
    <row r="15" spans="1:14" s="969" customFormat="1" ht="15" customHeight="1">
      <c r="A15" s="942" t="s">
        <v>1955</v>
      </c>
      <c r="B15" s="967"/>
      <c r="C15" s="967">
        <f ca="1">'3.0수량표'!K13</f>
        <v>7.0000000000000001E-3</v>
      </c>
      <c r="D15" s="967" t="s">
        <v>1888</v>
      </c>
      <c r="E15" s="937">
        <f>G15+I15+K15</f>
        <v>482</v>
      </c>
      <c r="F15" s="937"/>
      <c r="G15" s="937"/>
      <c r="H15" s="937">
        <f ca="1">'11.0시중노임'!$F$6</f>
        <v>68965</v>
      </c>
      <c r="I15" s="937">
        <f>INT(C15*H15)</f>
        <v>482</v>
      </c>
      <c r="J15" s="967"/>
      <c r="K15" s="968"/>
    </row>
    <row r="16" spans="1:14" s="969" customFormat="1" ht="15" customHeight="1">
      <c r="A16" s="971" t="s">
        <v>1947</v>
      </c>
      <c r="B16" s="972"/>
      <c r="C16" s="972"/>
      <c r="D16" s="972"/>
      <c r="E16" s="973">
        <f>G16+I16+K16</f>
        <v>1620</v>
      </c>
      <c r="F16" s="972"/>
      <c r="G16" s="974">
        <f>SUM(G11:G15)</f>
        <v>548</v>
      </c>
      <c r="H16" s="972"/>
      <c r="I16" s="974">
        <f>SUM(I11:I15)</f>
        <v>1072</v>
      </c>
      <c r="J16" s="972"/>
      <c r="K16" s="968"/>
    </row>
    <row r="17" spans="1:14" s="965" customFormat="1" ht="15" customHeight="1">
      <c r="A17" s="966" t="s">
        <v>1956</v>
      </c>
      <c r="B17" s="967"/>
      <c r="C17" s="967"/>
      <c r="D17" s="967"/>
      <c r="E17" s="967"/>
      <c r="F17" s="967"/>
      <c r="G17" s="967"/>
      <c r="H17" s="967"/>
      <c r="I17" s="967"/>
      <c r="J17" s="967"/>
      <c r="K17" s="968"/>
    </row>
    <row r="18" spans="1:14" s="969" customFormat="1" ht="15" customHeight="1">
      <c r="A18" s="943" t="s">
        <v>1957</v>
      </c>
      <c r="B18" s="977" t="s">
        <v>1426</v>
      </c>
      <c r="C18" s="978">
        <f ca="1">'3.0수량표'!K22</f>
        <v>1.56</v>
      </c>
      <c r="D18" s="970" t="s">
        <v>1016</v>
      </c>
      <c r="E18" s="937">
        <f>G18+I18+K18</f>
        <v>3447</v>
      </c>
      <c r="F18" s="979">
        <f ca="1">'8.0자재단가'!$I$19</f>
        <v>2210</v>
      </c>
      <c r="G18" s="937">
        <f>INT(C18*F18)</f>
        <v>3447</v>
      </c>
      <c r="H18" s="967"/>
      <c r="I18" s="967"/>
      <c r="J18" s="967"/>
      <c r="K18" s="968"/>
    </row>
    <row r="19" spans="1:14" s="969" customFormat="1" ht="15" customHeight="1">
      <c r="A19" s="943" t="s">
        <v>1428</v>
      </c>
      <c r="B19" s="967" t="s">
        <v>32</v>
      </c>
      <c r="C19" s="978">
        <f ca="1">'3.0수량표'!K23</f>
        <v>1.56</v>
      </c>
      <c r="D19" s="970" t="s">
        <v>1019</v>
      </c>
      <c r="E19" s="937">
        <f>G19+I19+K19</f>
        <v>234</v>
      </c>
      <c r="F19" s="979">
        <f ca="1">'8.0자재단가'!$I$20</f>
        <v>150</v>
      </c>
      <c r="G19" s="937">
        <f>INT(C19*F19)</f>
        <v>234</v>
      </c>
      <c r="H19" s="967"/>
      <c r="I19" s="967"/>
      <c r="J19" s="967"/>
      <c r="K19" s="968"/>
    </row>
    <row r="20" spans="1:14" s="969" customFormat="1" ht="15" customHeight="1">
      <c r="A20" s="942" t="s">
        <v>837</v>
      </c>
      <c r="B20" s="967"/>
      <c r="C20" s="980">
        <f ca="1">'3.0수량표'!K24</f>
        <v>6.0000000000000001E-3</v>
      </c>
      <c r="D20" s="967" t="s">
        <v>1221</v>
      </c>
      <c r="E20" s="937">
        <f>G20+I20+K20</f>
        <v>553</v>
      </c>
      <c r="F20" s="937"/>
      <c r="G20" s="937"/>
      <c r="H20" s="937">
        <f ca="1">'11.0시중노임'!$F$4</f>
        <v>92218</v>
      </c>
      <c r="I20" s="937">
        <f>INT(C20*H20)</f>
        <v>553</v>
      </c>
      <c r="J20" s="937"/>
      <c r="K20" s="938"/>
    </row>
    <row r="21" spans="1:14" s="969" customFormat="1" ht="15" customHeight="1">
      <c r="A21" s="942" t="s">
        <v>1422</v>
      </c>
      <c r="B21" s="967"/>
      <c r="C21" s="980">
        <f ca="1">'3.0수량표'!K25</f>
        <v>2.4E-2</v>
      </c>
      <c r="D21" s="967" t="s">
        <v>1221</v>
      </c>
      <c r="E21" s="937">
        <f>G21+I21+K21</f>
        <v>2025</v>
      </c>
      <c r="F21" s="937"/>
      <c r="G21" s="937"/>
      <c r="H21" s="937">
        <f ca="1">'11.0시중노임'!$F$5</f>
        <v>84404</v>
      </c>
      <c r="I21" s="937">
        <f>INT(C21*H21)</f>
        <v>2025</v>
      </c>
      <c r="J21" s="967"/>
      <c r="K21" s="968"/>
    </row>
    <row r="22" spans="1:14" s="969" customFormat="1" ht="15" customHeight="1">
      <c r="A22" s="942" t="s">
        <v>839</v>
      </c>
      <c r="B22" s="967"/>
      <c r="C22" s="980">
        <f ca="1">'3.0수량표'!K26</f>
        <v>2.4E-2</v>
      </c>
      <c r="D22" s="967" t="s">
        <v>1221</v>
      </c>
      <c r="E22" s="937">
        <f>G22+I22+K22</f>
        <v>1655</v>
      </c>
      <c r="F22" s="937"/>
      <c r="G22" s="937"/>
      <c r="H22" s="937">
        <f ca="1">'11.0시중노임'!$F$6</f>
        <v>68965</v>
      </c>
      <c r="I22" s="937">
        <f>INT(C22*H22)</f>
        <v>1655</v>
      </c>
      <c r="J22" s="967"/>
      <c r="K22" s="968"/>
    </row>
    <row r="23" spans="1:14" s="976" customFormat="1" ht="15" customHeight="1">
      <c r="A23" s="971" t="s">
        <v>849</v>
      </c>
      <c r="B23" s="972"/>
      <c r="C23" s="972"/>
      <c r="D23" s="972"/>
      <c r="E23" s="974">
        <f>SUM(E18:E22)</f>
        <v>7914</v>
      </c>
      <c r="F23" s="972"/>
      <c r="G23" s="974">
        <f>SUM(G18:G22)</f>
        <v>3681</v>
      </c>
      <c r="H23" s="972"/>
      <c r="I23" s="974">
        <f>SUM(I18:I22)</f>
        <v>4233</v>
      </c>
      <c r="J23" s="972"/>
      <c r="K23" s="981"/>
    </row>
    <row r="24" spans="1:14" s="965" customFormat="1" ht="15" customHeight="1">
      <c r="A24" s="966" t="s">
        <v>890</v>
      </c>
      <c r="B24" s="967"/>
      <c r="C24" s="967"/>
      <c r="D24" s="967"/>
      <c r="E24" s="967"/>
      <c r="F24" s="967"/>
      <c r="G24" s="967"/>
      <c r="H24" s="967"/>
      <c r="I24" s="967"/>
      <c r="J24" s="967"/>
      <c r="K24" s="968"/>
    </row>
    <row r="25" spans="1:14" s="931" customFormat="1" ht="15" customHeight="1">
      <c r="A25" s="576" t="s">
        <v>850</v>
      </c>
      <c r="B25" s="573" t="s">
        <v>851</v>
      </c>
      <c r="C25" s="982">
        <f ca="1">'3.0수량표'!K28</f>
        <v>108</v>
      </c>
      <c r="D25" s="573" t="s">
        <v>831</v>
      </c>
      <c r="E25" s="937">
        <f t="shared" ref="E25:E42" si="0">G25+I25+K25</f>
        <v>16200</v>
      </c>
      <c r="F25" s="937">
        <f ca="1">'8.0자재단가'!$I$8</f>
        <v>150</v>
      </c>
      <c r="G25" s="937">
        <f>INT(C25*F25)</f>
        <v>16200</v>
      </c>
      <c r="H25" s="937"/>
      <c r="I25" s="937"/>
      <c r="J25" s="937"/>
      <c r="K25" s="938"/>
      <c r="L25" s="965"/>
      <c r="M25" s="965"/>
      <c r="N25" s="965"/>
    </row>
    <row r="26" spans="1:14" s="928" customFormat="1" ht="15" customHeight="1">
      <c r="A26" s="932" t="s">
        <v>33</v>
      </c>
      <c r="B26" s="573" t="s">
        <v>832</v>
      </c>
      <c r="C26" s="982">
        <f ca="1">'3.0수량표'!K29</f>
        <v>26.4</v>
      </c>
      <c r="D26" s="573" t="s">
        <v>831</v>
      </c>
      <c r="E26" s="937">
        <f t="shared" si="0"/>
        <v>4488</v>
      </c>
      <c r="F26" s="937">
        <f ca="1">'8.0자재단가'!$I$9</f>
        <v>170</v>
      </c>
      <c r="G26" s="937">
        <f>INT(C26*F26)</f>
        <v>4488</v>
      </c>
      <c r="H26" s="937"/>
      <c r="I26" s="937"/>
      <c r="J26" s="937"/>
      <c r="K26" s="938"/>
      <c r="L26" s="964"/>
      <c r="M26" s="964"/>
      <c r="N26" s="964"/>
    </row>
    <row r="27" spans="1:14" s="928" customFormat="1" ht="15" customHeight="1">
      <c r="A27" s="576" t="s">
        <v>853</v>
      </c>
      <c r="B27" s="939" t="s">
        <v>34</v>
      </c>
      <c r="C27" s="982">
        <f ca="1">'3.0수량표'!K30</f>
        <v>4.8</v>
      </c>
      <c r="D27" s="573" t="s">
        <v>859</v>
      </c>
      <c r="E27" s="937">
        <f t="shared" si="0"/>
        <v>960</v>
      </c>
      <c r="F27" s="937">
        <f ca="1">'8.0자재단가'!$I$10</f>
        <v>200</v>
      </c>
      <c r="G27" s="937">
        <f>INT(C27*F27)</f>
        <v>960</v>
      </c>
      <c r="H27" s="937"/>
      <c r="I27" s="937"/>
      <c r="J27" s="937"/>
      <c r="K27" s="938"/>
      <c r="L27" s="964"/>
      <c r="M27" s="983"/>
      <c r="N27" s="983"/>
    </row>
    <row r="28" spans="1:14" s="928" customFormat="1" ht="15" customHeight="1">
      <c r="A28" s="576" t="s">
        <v>854</v>
      </c>
      <c r="B28" s="573" t="s">
        <v>35</v>
      </c>
      <c r="C28" s="982">
        <f ca="1">'3.0수량표'!K31</f>
        <v>1.2</v>
      </c>
      <c r="D28" s="573" t="s">
        <v>859</v>
      </c>
      <c r="E28" s="937">
        <f t="shared" si="0"/>
        <v>1200</v>
      </c>
      <c r="F28" s="937">
        <f ca="1">'8.0자재단가'!$I$11</f>
        <v>1000</v>
      </c>
      <c r="G28" s="937">
        <f>INT(C28*F28)</f>
        <v>1200</v>
      </c>
      <c r="H28" s="937"/>
      <c r="I28" s="937"/>
      <c r="J28" s="937"/>
      <c r="K28" s="938"/>
      <c r="L28" s="964"/>
      <c r="M28" s="964"/>
      <c r="N28" s="964"/>
    </row>
    <row r="29" spans="1:14" s="928" customFormat="1" ht="15" customHeight="1">
      <c r="A29" s="576" t="s">
        <v>856</v>
      </c>
      <c r="B29" s="573" t="s">
        <v>36</v>
      </c>
      <c r="C29" s="982">
        <f ca="1">'3.0수량표'!K32</f>
        <v>30</v>
      </c>
      <c r="D29" s="573" t="s">
        <v>842</v>
      </c>
      <c r="E29" s="937">
        <f t="shared" si="0"/>
        <v>2400</v>
      </c>
      <c r="F29" s="937">
        <f ca="1">'8.0자재단가'!$I$14</f>
        <v>80</v>
      </c>
      <c r="G29" s="937">
        <f>INT(C29*F29)</f>
        <v>2400</v>
      </c>
      <c r="H29" s="937"/>
      <c r="I29" s="937"/>
      <c r="J29" s="937"/>
      <c r="K29" s="938"/>
      <c r="L29" s="964"/>
      <c r="M29" s="964"/>
      <c r="N29" s="964"/>
    </row>
    <row r="30" spans="1:14" s="928" customFormat="1" ht="15" customHeight="1">
      <c r="A30" s="576" t="s">
        <v>666</v>
      </c>
      <c r="B30" s="573" t="s">
        <v>37</v>
      </c>
      <c r="C30" s="982">
        <f ca="1">'3.0수량표'!K33</f>
        <v>2</v>
      </c>
      <c r="D30" s="573" t="s">
        <v>861</v>
      </c>
      <c r="E30" s="937">
        <f t="shared" si="0"/>
        <v>504</v>
      </c>
      <c r="F30" s="937">
        <f>SUM(G25:G29)</f>
        <v>25248</v>
      </c>
      <c r="G30" s="937">
        <f>INT(C30*F30/100)</f>
        <v>504</v>
      </c>
      <c r="H30" s="937"/>
      <c r="I30" s="937"/>
      <c r="J30" s="937"/>
      <c r="K30" s="938"/>
      <c r="L30" s="964"/>
      <c r="M30" s="984"/>
      <c r="N30" s="964"/>
    </row>
    <row r="31" spans="1:14" s="928" customFormat="1" ht="15" customHeight="1">
      <c r="A31" s="942" t="s">
        <v>865</v>
      </c>
      <c r="B31" s="573" t="s">
        <v>876</v>
      </c>
      <c r="C31" s="985">
        <f ca="1">'3.0수량표'!K34</f>
        <v>6.4000000000000001E-2</v>
      </c>
      <c r="D31" s="573" t="s">
        <v>843</v>
      </c>
      <c r="E31" s="937">
        <f t="shared" si="0"/>
        <v>1598</v>
      </c>
      <c r="F31" s="937">
        <f ca="1">'9.0중기목록'!$F$6</f>
        <v>0</v>
      </c>
      <c r="G31" s="937">
        <f t="shared" ref="G31:G36" si="1">INT(C31*F31)</f>
        <v>0</v>
      </c>
      <c r="H31" s="937">
        <f ca="1">'9.0중기목록'!$E$6</f>
        <v>0</v>
      </c>
      <c r="I31" s="937">
        <f t="shared" ref="I31:I40" si="2">INT(C31*H31)</f>
        <v>0</v>
      </c>
      <c r="J31" s="937">
        <f ca="1">'9.0중기목록'!$G$6</f>
        <v>24973</v>
      </c>
      <c r="K31" s="938">
        <f t="shared" ref="K31:K36" si="3">INT(C31*J31)</f>
        <v>1598</v>
      </c>
      <c r="L31" s="964"/>
      <c r="M31" s="964"/>
      <c r="N31" s="964"/>
    </row>
    <row r="32" spans="1:14" s="928" customFormat="1" ht="15" customHeight="1">
      <c r="A32" s="942" t="s">
        <v>835</v>
      </c>
      <c r="B32" s="573" t="s">
        <v>844</v>
      </c>
      <c r="C32" s="985">
        <f ca="1">'3.0수량표'!K35</f>
        <v>6.4000000000000001E-2</v>
      </c>
      <c r="D32" s="573" t="s">
        <v>843</v>
      </c>
      <c r="E32" s="937">
        <f t="shared" si="0"/>
        <v>3504</v>
      </c>
      <c r="F32" s="937">
        <f ca="1">'9.0중기목록'!$F$8</f>
        <v>29577</v>
      </c>
      <c r="G32" s="937">
        <f t="shared" si="1"/>
        <v>1892</v>
      </c>
      <c r="H32" s="937">
        <f ca="1">'9.0중기목록'!$E$8</f>
        <v>20561</v>
      </c>
      <c r="I32" s="937">
        <f t="shared" si="2"/>
        <v>1315</v>
      </c>
      <c r="J32" s="937">
        <f ca="1">'9.0중기목록'!$G$8</f>
        <v>4656</v>
      </c>
      <c r="K32" s="938">
        <f t="shared" si="3"/>
        <v>297</v>
      </c>
      <c r="L32" s="964"/>
      <c r="M32" s="964"/>
      <c r="N32" s="964"/>
    </row>
    <row r="33" spans="1:14" s="928" customFormat="1" ht="15" customHeight="1">
      <c r="A33" s="942" t="s">
        <v>38</v>
      </c>
      <c r="B33" s="573" t="s">
        <v>39</v>
      </c>
      <c r="C33" s="985">
        <f ca="1">'3.0수량표'!K36</f>
        <v>6.4000000000000001E-2</v>
      </c>
      <c r="D33" s="573" t="s">
        <v>843</v>
      </c>
      <c r="E33" s="937">
        <f t="shared" si="0"/>
        <v>2742</v>
      </c>
      <c r="F33" s="937">
        <f ca="1">'9.0중기목록'!$F$10</f>
        <v>23409</v>
      </c>
      <c r="G33" s="937">
        <f t="shared" si="1"/>
        <v>1498</v>
      </c>
      <c r="H33" s="937">
        <f ca="1">'9.0중기목록'!$E$10</f>
        <v>14915</v>
      </c>
      <c r="I33" s="937">
        <f t="shared" si="2"/>
        <v>954</v>
      </c>
      <c r="J33" s="937">
        <f ca="1">'9.0중기목록'!$G$10</f>
        <v>4533</v>
      </c>
      <c r="K33" s="938">
        <f t="shared" si="3"/>
        <v>290</v>
      </c>
      <c r="L33" s="964"/>
      <c r="M33" s="964"/>
      <c r="N33" s="964"/>
    </row>
    <row r="34" spans="1:14" s="928" customFormat="1" ht="15" customHeight="1">
      <c r="A34" s="943" t="s">
        <v>864</v>
      </c>
      <c r="B34" s="573" t="s">
        <v>868</v>
      </c>
      <c r="C34" s="985">
        <f ca="1">'3.0수량표'!K37</f>
        <v>7.1999999999999995E-2</v>
      </c>
      <c r="D34" s="573" t="s">
        <v>843</v>
      </c>
      <c r="E34" s="937">
        <f t="shared" si="0"/>
        <v>2498</v>
      </c>
      <c r="F34" s="937">
        <f ca="1">'9.0중기목록'!$F$12</f>
        <v>6640</v>
      </c>
      <c r="G34" s="937">
        <f t="shared" si="1"/>
        <v>478</v>
      </c>
      <c r="H34" s="937">
        <f ca="1">'9.0중기목록'!$E$12</f>
        <v>17696</v>
      </c>
      <c r="I34" s="937">
        <f t="shared" si="2"/>
        <v>1274</v>
      </c>
      <c r="J34" s="937">
        <f ca="1">'9.0중기목록'!$G$12</f>
        <v>10362</v>
      </c>
      <c r="K34" s="938">
        <f t="shared" si="3"/>
        <v>746</v>
      </c>
      <c r="L34" s="964"/>
      <c r="M34" s="964"/>
      <c r="N34" s="964"/>
    </row>
    <row r="35" spans="1:14" s="928" customFormat="1" ht="15" customHeight="1">
      <c r="A35" s="576" t="s">
        <v>2220</v>
      </c>
      <c r="B35" s="573" t="s">
        <v>847</v>
      </c>
      <c r="C35" s="985">
        <f ca="1">'3.0수량표'!K38</f>
        <v>6.4000000000000001E-2</v>
      </c>
      <c r="D35" s="573" t="s">
        <v>843</v>
      </c>
      <c r="E35" s="937">
        <f t="shared" si="0"/>
        <v>2471</v>
      </c>
      <c r="F35" s="937">
        <f ca="1">'9.0중기목록'!$F$14</f>
        <v>13117</v>
      </c>
      <c r="G35" s="937">
        <f t="shared" si="1"/>
        <v>839</v>
      </c>
      <c r="H35" s="937">
        <f ca="1">'9.0중기목록'!$E$14</f>
        <v>17696</v>
      </c>
      <c r="I35" s="937">
        <f t="shared" si="2"/>
        <v>1132</v>
      </c>
      <c r="J35" s="937">
        <f ca="1">'9.0중기목록'!$G$14</f>
        <v>7823</v>
      </c>
      <c r="K35" s="938">
        <f t="shared" si="3"/>
        <v>500</v>
      </c>
      <c r="L35" s="964"/>
      <c r="M35" s="964"/>
      <c r="N35" s="964"/>
    </row>
    <row r="36" spans="1:14" s="928" customFormat="1" ht="15" customHeight="1">
      <c r="A36" s="942" t="s">
        <v>836</v>
      </c>
      <c r="B36" s="573" t="s">
        <v>40</v>
      </c>
      <c r="C36" s="985">
        <f ca="1">'3.0수량표'!K39</f>
        <v>6.4000000000000001E-2</v>
      </c>
      <c r="D36" s="573" t="s">
        <v>843</v>
      </c>
      <c r="E36" s="937">
        <f t="shared" si="0"/>
        <v>2289</v>
      </c>
      <c r="F36" s="937">
        <f ca="1">'9.0중기목록'!$F$16</f>
        <v>11978</v>
      </c>
      <c r="G36" s="937">
        <f t="shared" si="1"/>
        <v>766</v>
      </c>
      <c r="H36" s="937">
        <f ca="1">'9.0중기목록'!$E$16</f>
        <v>17696</v>
      </c>
      <c r="I36" s="937">
        <f t="shared" si="2"/>
        <v>1132</v>
      </c>
      <c r="J36" s="937">
        <f ca="1">'9.0중기목록'!$G$16</f>
        <v>6117</v>
      </c>
      <c r="K36" s="938">
        <f t="shared" si="3"/>
        <v>391</v>
      </c>
      <c r="L36" s="964"/>
      <c r="M36" s="984"/>
      <c r="N36" s="964"/>
    </row>
    <row r="37" spans="1:14" s="928" customFormat="1" ht="15" customHeight="1">
      <c r="A37" s="576" t="s">
        <v>837</v>
      </c>
      <c r="B37" s="573"/>
      <c r="C37" s="985">
        <f ca="1">'3.0수량표'!K40</f>
        <v>0.01</v>
      </c>
      <c r="D37" s="573" t="s">
        <v>1221</v>
      </c>
      <c r="E37" s="937">
        <f t="shared" si="0"/>
        <v>922</v>
      </c>
      <c r="F37" s="937"/>
      <c r="G37" s="937"/>
      <c r="H37" s="937">
        <f ca="1">'11.0시중노임'!$F$4</f>
        <v>92218</v>
      </c>
      <c r="I37" s="937">
        <f t="shared" si="2"/>
        <v>922</v>
      </c>
      <c r="J37" s="937"/>
      <c r="K37" s="938"/>
      <c r="L37" s="964"/>
      <c r="M37" s="964"/>
      <c r="N37" s="964"/>
    </row>
    <row r="38" spans="1:14" s="928" customFormat="1" ht="15" customHeight="1">
      <c r="A38" s="576" t="s">
        <v>1422</v>
      </c>
      <c r="B38" s="573"/>
      <c r="C38" s="985">
        <f ca="1">'3.0수량표'!K41</f>
        <v>4.2000000000000003E-2</v>
      </c>
      <c r="D38" s="573" t="s">
        <v>1221</v>
      </c>
      <c r="E38" s="937">
        <f t="shared" si="0"/>
        <v>3544</v>
      </c>
      <c r="F38" s="937"/>
      <c r="G38" s="937"/>
      <c r="H38" s="937">
        <f ca="1">'11.0시중노임'!$F$5</f>
        <v>84404</v>
      </c>
      <c r="I38" s="937">
        <f t="shared" si="2"/>
        <v>3544</v>
      </c>
      <c r="J38" s="937"/>
      <c r="K38" s="938"/>
      <c r="L38" s="964"/>
      <c r="M38" s="964"/>
      <c r="N38" s="964"/>
    </row>
    <row r="39" spans="1:14" s="928" customFormat="1" ht="15" customHeight="1">
      <c r="A39" s="576" t="s">
        <v>848</v>
      </c>
      <c r="B39" s="573"/>
      <c r="C39" s="985">
        <f ca="1">'3.0수량표'!K42</f>
        <v>0.01</v>
      </c>
      <c r="D39" s="573" t="s">
        <v>1221</v>
      </c>
      <c r="E39" s="937">
        <f t="shared" si="0"/>
        <v>865</v>
      </c>
      <c r="F39" s="937"/>
      <c r="G39" s="937"/>
      <c r="H39" s="937">
        <f ca="1">'11.0시중노임'!$F$12</f>
        <v>86521</v>
      </c>
      <c r="I39" s="937">
        <f t="shared" si="2"/>
        <v>865</v>
      </c>
      <c r="J39" s="937"/>
      <c r="K39" s="938"/>
      <c r="L39" s="964"/>
      <c r="M39" s="964"/>
      <c r="N39" s="964"/>
    </row>
    <row r="40" spans="1:14" s="928" customFormat="1" ht="15" customHeight="1">
      <c r="A40" s="576" t="s">
        <v>839</v>
      </c>
      <c r="B40" s="573"/>
      <c r="C40" s="985">
        <f ca="1">'3.0수량표'!K43</f>
        <v>8.4000000000000005E-2</v>
      </c>
      <c r="D40" s="573" t="s">
        <v>1221</v>
      </c>
      <c r="E40" s="937">
        <f t="shared" si="0"/>
        <v>5793</v>
      </c>
      <c r="F40" s="937"/>
      <c r="G40" s="937"/>
      <c r="H40" s="937">
        <f ca="1">'11.0시중노임'!$F$6</f>
        <v>68965</v>
      </c>
      <c r="I40" s="937">
        <f t="shared" si="2"/>
        <v>5793</v>
      </c>
      <c r="J40" s="937"/>
      <c r="K40" s="938"/>
      <c r="L40" s="964"/>
      <c r="M40" s="984"/>
      <c r="N40" s="964"/>
    </row>
    <row r="41" spans="1:14" s="928" customFormat="1" ht="15" customHeight="1">
      <c r="A41" s="576" t="s">
        <v>840</v>
      </c>
      <c r="B41" s="573" t="s">
        <v>980</v>
      </c>
      <c r="C41" s="982">
        <f ca="1">'3.0수량표'!D44</f>
        <v>2</v>
      </c>
      <c r="D41" s="573" t="s">
        <v>861</v>
      </c>
      <c r="E41" s="937">
        <f t="shared" si="0"/>
        <v>222</v>
      </c>
      <c r="F41" s="937"/>
      <c r="G41" s="937"/>
      <c r="H41" s="937"/>
      <c r="I41" s="937"/>
      <c r="J41" s="937">
        <f>SUM(I37:I40)</f>
        <v>11124</v>
      </c>
      <c r="K41" s="938">
        <f>INT(C41*J41/100)</f>
        <v>222</v>
      </c>
      <c r="L41" s="964"/>
      <c r="M41" s="964"/>
      <c r="N41" s="964"/>
    </row>
    <row r="42" spans="1:14" s="956" customFormat="1" ht="15" customHeight="1">
      <c r="A42" s="971" t="s">
        <v>849</v>
      </c>
      <c r="B42" s="986"/>
      <c r="C42" s="987"/>
      <c r="D42" s="986"/>
      <c r="E42" s="973">
        <f t="shared" si="0"/>
        <v>52200</v>
      </c>
      <c r="F42" s="973"/>
      <c r="G42" s="973">
        <f>SUM(G25:G41)</f>
        <v>31225</v>
      </c>
      <c r="H42" s="973"/>
      <c r="I42" s="973">
        <f>SUM(I25:I41)</f>
        <v>16931</v>
      </c>
      <c r="J42" s="973"/>
      <c r="K42" s="988">
        <f>SUM(K25:K41)</f>
        <v>4044</v>
      </c>
      <c r="L42" s="989"/>
      <c r="M42" s="989"/>
      <c r="N42" s="989"/>
    </row>
    <row r="43" spans="1:14" s="956" customFormat="1" ht="15" customHeight="1">
      <c r="A43" s="971"/>
      <c r="B43" s="986"/>
      <c r="C43" s="987"/>
      <c r="D43" s="986"/>
      <c r="E43" s="973"/>
      <c r="F43" s="973"/>
      <c r="G43" s="973"/>
      <c r="H43" s="973"/>
      <c r="I43" s="973"/>
      <c r="J43" s="973"/>
      <c r="K43" s="988"/>
      <c r="L43" s="989"/>
      <c r="M43" s="989"/>
      <c r="N43" s="989"/>
    </row>
    <row r="44" spans="1:14" s="928" customFormat="1" ht="15" customHeight="1">
      <c r="A44" s="990"/>
      <c r="B44" s="945" t="s">
        <v>981</v>
      </c>
      <c r="C44" s="945"/>
      <c r="D44" s="573"/>
      <c r="E44" s="937"/>
      <c r="F44" s="945"/>
      <c r="G44" s="945"/>
      <c r="H44" s="945"/>
      <c r="I44" s="945"/>
      <c r="J44" s="945"/>
      <c r="K44" s="991"/>
      <c r="L44" s="964"/>
      <c r="M44" s="964"/>
      <c r="N44" s="964"/>
    </row>
    <row r="45" spans="1:14" s="956" customFormat="1" ht="15" customHeight="1">
      <c r="A45" s="951" t="s">
        <v>886</v>
      </c>
      <c r="B45" s="952"/>
      <c r="C45" s="952"/>
      <c r="D45" s="953"/>
      <c r="E45" s="954">
        <f>E42+E23+E16+E10</f>
        <v>64857</v>
      </c>
      <c r="F45" s="954"/>
      <c r="G45" s="954">
        <f>G42+G23+G16+G10</f>
        <v>35992</v>
      </c>
      <c r="H45" s="954"/>
      <c r="I45" s="954">
        <f>I42+I23+I16+I10</f>
        <v>24657</v>
      </c>
      <c r="J45" s="954"/>
      <c r="K45" s="955">
        <f>K42+K23+K16+K10</f>
        <v>4208</v>
      </c>
      <c r="L45" s="989"/>
      <c r="M45" s="989"/>
      <c r="N45" s="989"/>
    </row>
  </sheetData>
  <mergeCells count="9">
    <mergeCell ref="A1:K1"/>
    <mergeCell ref="C3:C4"/>
    <mergeCell ref="J3:K3"/>
    <mergeCell ref="A3:A4"/>
    <mergeCell ref="F3:G3"/>
    <mergeCell ref="H3:I3"/>
    <mergeCell ref="D3:D4"/>
    <mergeCell ref="E3:E4"/>
    <mergeCell ref="B3:B4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2197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enableFormatConditionsCalculation="0">
    <tabColor indexed="11"/>
  </sheetPr>
  <dimension ref="A1:L252"/>
  <sheetViews>
    <sheetView view="pageBreakPreview" topLeftCell="A160" zoomScale="75" zoomScaleNormal="75" workbookViewId="0">
      <selection activeCell="E131" sqref="E131"/>
    </sheetView>
  </sheetViews>
  <sheetFormatPr defaultRowHeight="13.5"/>
  <cols>
    <col min="1" max="1" width="23.6640625" style="962" customWidth="1"/>
    <col min="2" max="2" width="20.6640625" style="908" customWidth="1"/>
    <col min="3" max="3" width="10.21875" style="908" customWidth="1"/>
    <col min="4" max="4" width="6.21875" style="908" customWidth="1"/>
    <col min="5" max="5" width="11.77734375" style="908" customWidth="1"/>
    <col min="6" max="6" width="13.77734375" style="908" customWidth="1"/>
    <col min="7" max="7" width="11.5546875" style="908" customWidth="1"/>
    <col min="8" max="8" width="13.77734375" style="908" customWidth="1"/>
    <col min="9" max="9" width="11.77734375" style="908" customWidth="1"/>
    <col min="10" max="10" width="13.77734375" style="908" customWidth="1"/>
    <col min="11" max="11" width="17.21875" style="908" customWidth="1"/>
    <col min="12" max="12" width="15.6640625" style="908" customWidth="1"/>
    <col min="13" max="16384" width="8.88671875" style="908"/>
  </cols>
  <sheetData>
    <row r="1" spans="1:12">
      <c r="A1" s="671"/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</row>
    <row r="2" spans="1:12">
      <c r="A2" s="671"/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</row>
    <row r="3" spans="1:12">
      <c r="A3" s="671"/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</row>
    <row r="4" spans="1:12">
      <c r="A4" s="671"/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</row>
    <row r="5" spans="1:12">
      <c r="A5" s="671"/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</row>
    <row r="6" spans="1:12">
      <c r="A6" s="671"/>
      <c r="B6" s="671"/>
      <c r="C6" s="671"/>
      <c r="D6" s="671"/>
      <c r="E6" s="671"/>
      <c r="F6" s="671"/>
      <c r="G6" s="671"/>
      <c r="H6" s="671"/>
      <c r="I6" s="671"/>
      <c r="J6" s="671"/>
      <c r="K6" s="671"/>
      <c r="L6" s="671"/>
    </row>
    <row r="7" spans="1:12">
      <c r="A7" s="671"/>
      <c r="B7" s="671"/>
      <c r="C7" s="671"/>
      <c r="D7" s="671"/>
      <c r="E7" s="671"/>
      <c r="F7" s="671"/>
      <c r="G7" s="671"/>
      <c r="H7" s="671"/>
      <c r="I7" s="671"/>
      <c r="J7" s="671"/>
      <c r="K7" s="671"/>
      <c r="L7" s="671"/>
    </row>
    <row r="8" spans="1:12">
      <c r="A8" s="671"/>
      <c r="B8" s="671"/>
      <c r="C8" s="671"/>
      <c r="D8" s="671"/>
      <c r="E8" s="671"/>
      <c r="F8" s="671"/>
      <c r="G8" s="671"/>
      <c r="H8" s="671"/>
      <c r="I8" s="671"/>
      <c r="J8" s="671"/>
      <c r="K8" s="671"/>
      <c r="L8" s="671"/>
    </row>
    <row r="9" spans="1:12" ht="61.5">
      <c r="A9" s="1697" t="s">
        <v>1849</v>
      </c>
      <c r="B9" s="1697"/>
      <c r="C9" s="1697"/>
      <c r="D9" s="1697"/>
      <c r="E9" s="1697"/>
      <c r="F9" s="1697"/>
      <c r="G9" s="1697"/>
      <c r="H9" s="1697"/>
      <c r="I9" s="1697"/>
      <c r="J9" s="1697"/>
      <c r="K9" s="1697"/>
      <c r="L9" s="1697"/>
    </row>
    <row r="10" spans="1:12">
      <c r="A10" s="671"/>
      <c r="B10" s="671"/>
      <c r="C10" s="671"/>
      <c r="D10" s="671"/>
      <c r="E10" s="671"/>
      <c r="F10" s="671"/>
      <c r="G10" s="671"/>
      <c r="H10" s="671"/>
      <c r="I10" s="671"/>
      <c r="J10" s="671"/>
      <c r="K10" s="671"/>
      <c r="L10" s="671"/>
    </row>
    <row r="11" spans="1:12">
      <c r="A11" s="671"/>
      <c r="B11" s="671"/>
      <c r="C11" s="671"/>
      <c r="D11" s="671"/>
      <c r="E11" s="671"/>
      <c r="F11" s="671"/>
      <c r="G11" s="671"/>
      <c r="H11" s="671"/>
      <c r="I11" s="671"/>
      <c r="J11" s="671"/>
      <c r="K11" s="671"/>
      <c r="L11" s="671"/>
    </row>
    <row r="12" spans="1:12">
      <c r="A12" s="671"/>
      <c r="B12" s="671"/>
      <c r="C12" s="671"/>
      <c r="D12" s="671"/>
      <c r="E12" s="671"/>
      <c r="F12" s="671"/>
      <c r="G12" s="671"/>
      <c r="H12" s="671"/>
      <c r="I12" s="671"/>
      <c r="J12" s="671"/>
      <c r="K12" s="671"/>
      <c r="L12" s="671"/>
    </row>
    <row r="13" spans="1:12">
      <c r="A13" s="671"/>
      <c r="B13" s="671"/>
      <c r="C13" s="671"/>
      <c r="D13" s="671"/>
      <c r="E13" s="671"/>
      <c r="F13" s="671"/>
      <c r="G13" s="671"/>
      <c r="H13" s="671"/>
      <c r="I13" s="671"/>
      <c r="J13" s="671"/>
      <c r="K13" s="671"/>
      <c r="L13" s="671"/>
    </row>
    <row r="14" spans="1:12">
      <c r="A14" s="671"/>
      <c r="B14" s="671"/>
      <c r="C14" s="671"/>
      <c r="D14" s="671"/>
      <c r="E14" s="671"/>
      <c r="F14" s="671"/>
      <c r="G14" s="671"/>
      <c r="H14" s="671"/>
      <c r="I14" s="671"/>
      <c r="J14" s="671"/>
      <c r="K14" s="671"/>
      <c r="L14" s="671"/>
    </row>
    <row r="15" spans="1:12">
      <c r="A15" s="671"/>
      <c r="B15" s="671"/>
      <c r="C15" s="671"/>
      <c r="D15" s="671"/>
      <c r="E15" s="671"/>
      <c r="F15" s="671"/>
      <c r="G15" s="671"/>
      <c r="H15" s="671"/>
      <c r="I15" s="671"/>
      <c r="J15" s="671"/>
      <c r="K15" s="671"/>
      <c r="L15" s="671"/>
    </row>
    <row r="16" spans="1:12">
      <c r="A16" s="671"/>
      <c r="B16" s="671"/>
      <c r="C16" s="671"/>
      <c r="D16" s="671"/>
      <c r="E16" s="671"/>
      <c r="F16" s="671"/>
      <c r="G16" s="671"/>
      <c r="H16" s="671"/>
      <c r="I16" s="671"/>
      <c r="J16" s="671"/>
      <c r="K16" s="671"/>
      <c r="L16" s="671"/>
    </row>
    <row r="17" spans="1:12">
      <c r="A17" s="671"/>
      <c r="B17" s="671"/>
      <c r="C17" s="671"/>
      <c r="D17" s="671"/>
      <c r="E17" s="671"/>
      <c r="F17" s="671"/>
      <c r="G17" s="671"/>
      <c r="H17" s="671"/>
      <c r="I17" s="671"/>
      <c r="J17" s="671"/>
      <c r="K17" s="671"/>
      <c r="L17" s="671"/>
    </row>
    <row r="18" spans="1:12">
      <c r="A18" s="671"/>
      <c r="B18" s="671"/>
      <c r="C18" s="671"/>
      <c r="D18" s="671"/>
      <c r="E18" s="671"/>
      <c r="F18" s="671"/>
      <c r="G18" s="671"/>
      <c r="H18" s="671"/>
      <c r="I18" s="671"/>
      <c r="J18" s="671"/>
      <c r="K18" s="671"/>
      <c r="L18" s="671"/>
    </row>
    <row r="19" spans="1:12">
      <c r="A19" s="671"/>
      <c r="B19" s="671"/>
      <c r="C19" s="671"/>
      <c r="D19" s="671"/>
      <c r="E19" s="671"/>
      <c r="F19" s="671"/>
      <c r="G19" s="671"/>
      <c r="H19" s="671"/>
      <c r="I19" s="671"/>
      <c r="J19" s="671"/>
      <c r="K19" s="671"/>
      <c r="L19" s="671"/>
    </row>
    <row r="20" spans="1:12">
      <c r="A20" s="671"/>
      <c r="B20" s="671"/>
      <c r="C20" s="671"/>
      <c r="D20" s="671"/>
      <c r="E20" s="671"/>
      <c r="F20" s="671"/>
      <c r="G20" s="671"/>
      <c r="H20" s="671"/>
      <c r="I20" s="671"/>
      <c r="J20" s="671"/>
      <c r="K20" s="671"/>
      <c r="L20" s="671"/>
    </row>
    <row r="21" spans="1:12">
      <c r="A21" s="671"/>
      <c r="B21" s="671"/>
      <c r="C21" s="671"/>
      <c r="D21" s="671"/>
      <c r="E21" s="671"/>
      <c r="F21" s="671"/>
      <c r="G21" s="671"/>
      <c r="H21" s="671"/>
      <c r="I21" s="671"/>
      <c r="J21" s="671"/>
      <c r="K21" s="671"/>
      <c r="L21" s="671"/>
    </row>
    <row r="22" spans="1:12">
      <c r="A22" s="671"/>
      <c r="B22" s="671"/>
      <c r="C22" s="671"/>
      <c r="D22" s="671"/>
      <c r="E22" s="671"/>
      <c r="F22" s="671"/>
      <c r="G22" s="671"/>
      <c r="H22" s="671"/>
      <c r="I22" s="671"/>
      <c r="J22" s="671"/>
      <c r="K22" s="671"/>
      <c r="L22" s="671"/>
    </row>
    <row r="23" spans="1:12">
      <c r="A23" s="671"/>
      <c r="B23" s="671"/>
      <c r="C23" s="671"/>
      <c r="D23" s="671"/>
      <c r="E23" s="671"/>
      <c r="F23" s="671"/>
      <c r="G23" s="671"/>
      <c r="H23" s="671"/>
      <c r="I23" s="671"/>
      <c r="J23" s="671"/>
      <c r="K23" s="671"/>
      <c r="L23" s="671"/>
    </row>
    <row r="24" spans="1:12">
      <c r="A24" s="671"/>
      <c r="B24" s="671"/>
      <c r="C24" s="671"/>
      <c r="D24" s="671"/>
      <c r="E24" s="671"/>
      <c r="F24" s="671"/>
      <c r="G24" s="671"/>
      <c r="H24" s="671"/>
      <c r="I24" s="671"/>
      <c r="J24" s="671"/>
      <c r="K24" s="671"/>
      <c r="L24" s="671"/>
    </row>
    <row r="25" spans="1:12">
      <c r="A25" s="671"/>
      <c r="B25" s="671"/>
      <c r="C25" s="671"/>
      <c r="D25" s="671"/>
      <c r="E25" s="671"/>
      <c r="F25" s="671"/>
      <c r="G25" s="671"/>
      <c r="H25" s="671"/>
      <c r="I25" s="671"/>
      <c r="J25" s="671"/>
      <c r="K25" s="671"/>
      <c r="L25" s="671"/>
    </row>
    <row r="26" spans="1:12">
      <c r="A26" s="671"/>
      <c r="B26" s="671"/>
      <c r="C26" s="671"/>
      <c r="D26" s="671"/>
      <c r="E26" s="671"/>
      <c r="F26" s="671"/>
      <c r="G26" s="671"/>
      <c r="H26" s="671"/>
      <c r="I26" s="671"/>
      <c r="J26" s="671"/>
      <c r="K26" s="671"/>
      <c r="L26" s="671"/>
    </row>
    <row r="27" spans="1:12">
      <c r="A27" s="671"/>
      <c r="B27" s="671"/>
      <c r="C27" s="671"/>
      <c r="D27" s="671"/>
      <c r="E27" s="671"/>
      <c r="F27" s="671"/>
      <c r="G27" s="671"/>
      <c r="H27" s="671"/>
      <c r="I27" s="671"/>
      <c r="J27" s="671"/>
      <c r="K27" s="671"/>
      <c r="L27" s="671"/>
    </row>
    <row r="28" spans="1:12">
      <c r="A28" s="671"/>
      <c r="B28" s="671"/>
      <c r="C28" s="671"/>
      <c r="D28" s="671"/>
      <c r="E28" s="671"/>
      <c r="F28" s="671"/>
      <c r="G28" s="671"/>
      <c r="H28" s="671"/>
      <c r="I28" s="671"/>
      <c r="J28" s="671"/>
      <c r="K28" s="671"/>
      <c r="L28" s="671"/>
    </row>
    <row r="29" spans="1:12">
      <c r="A29" s="671"/>
      <c r="B29" s="671"/>
      <c r="C29" s="671"/>
      <c r="D29" s="671"/>
      <c r="E29" s="671"/>
      <c r="F29" s="671"/>
      <c r="G29" s="671"/>
      <c r="H29" s="671"/>
      <c r="I29" s="671"/>
      <c r="J29" s="671"/>
      <c r="K29" s="671"/>
      <c r="L29" s="671"/>
    </row>
    <row r="30" spans="1:12">
      <c r="A30" s="671"/>
      <c r="B30" s="671"/>
      <c r="C30" s="671"/>
      <c r="D30" s="671"/>
      <c r="E30" s="671"/>
      <c r="F30" s="671"/>
      <c r="G30" s="671"/>
      <c r="H30" s="671"/>
      <c r="I30" s="671"/>
      <c r="J30" s="671"/>
      <c r="K30" s="671"/>
      <c r="L30" s="671"/>
    </row>
    <row r="31" spans="1:12">
      <c r="A31" s="671"/>
      <c r="B31" s="671"/>
      <c r="C31" s="671"/>
      <c r="D31" s="671"/>
      <c r="E31" s="671"/>
      <c r="F31" s="671"/>
      <c r="G31" s="671"/>
      <c r="H31" s="671"/>
      <c r="I31" s="671"/>
      <c r="J31" s="671"/>
      <c r="K31" s="671"/>
      <c r="L31" s="671"/>
    </row>
    <row r="32" spans="1:12">
      <c r="A32" s="671"/>
      <c r="B32" s="671"/>
      <c r="C32" s="671"/>
      <c r="D32" s="671"/>
      <c r="E32" s="671"/>
      <c r="F32" s="671"/>
      <c r="G32" s="671"/>
      <c r="H32" s="671"/>
      <c r="I32" s="671"/>
      <c r="J32" s="671"/>
      <c r="K32" s="671"/>
      <c r="L32" s="671"/>
    </row>
    <row r="33" spans="1:12">
      <c r="A33" s="671"/>
      <c r="B33" s="671"/>
      <c r="C33" s="671"/>
      <c r="D33" s="671"/>
      <c r="E33" s="671"/>
      <c r="F33" s="671"/>
      <c r="G33" s="671"/>
      <c r="H33" s="671"/>
      <c r="I33" s="671"/>
      <c r="J33" s="671"/>
      <c r="K33" s="671"/>
      <c r="L33" s="671"/>
    </row>
    <row r="34" spans="1:12">
      <c r="A34" s="671"/>
      <c r="B34" s="671"/>
      <c r="C34" s="671"/>
      <c r="D34" s="671"/>
      <c r="E34" s="671"/>
      <c r="F34" s="671"/>
      <c r="G34" s="671"/>
      <c r="H34" s="671"/>
      <c r="I34" s="671"/>
      <c r="J34" s="671"/>
      <c r="K34" s="671"/>
      <c r="L34" s="671"/>
    </row>
    <row r="35" spans="1:12" ht="33.75">
      <c r="A35" s="1698" t="s">
        <v>1850</v>
      </c>
      <c r="B35" s="1698"/>
      <c r="C35" s="1698"/>
      <c r="D35" s="1698"/>
      <c r="E35" s="1698"/>
      <c r="F35" s="1698"/>
      <c r="G35" s="1698"/>
      <c r="H35" s="1698"/>
      <c r="I35" s="1698"/>
      <c r="J35" s="1698"/>
      <c r="K35" s="1698"/>
      <c r="L35" s="1698"/>
    </row>
    <row r="36" spans="1:12">
      <c r="A36" s="671"/>
      <c r="B36" s="671"/>
      <c r="C36" s="671"/>
      <c r="D36" s="671"/>
      <c r="E36" s="671"/>
      <c r="F36" s="671"/>
      <c r="G36" s="671"/>
      <c r="H36" s="671"/>
      <c r="I36" s="671"/>
      <c r="J36" s="671"/>
      <c r="K36" s="671"/>
      <c r="L36" s="671"/>
    </row>
    <row r="37" spans="1:12" ht="47.25" customHeight="1">
      <c r="A37" s="1699"/>
      <c r="B37" s="1699"/>
      <c r="C37" s="1699"/>
      <c r="D37" s="1699"/>
      <c r="E37" s="1699"/>
      <c r="F37" s="1699"/>
      <c r="G37" s="1699"/>
      <c r="H37" s="1699"/>
      <c r="I37" s="1699"/>
      <c r="J37" s="1699"/>
      <c r="K37" s="1699"/>
      <c r="L37" s="1699"/>
    </row>
    <row r="38" spans="1:12" ht="6.75" customHeight="1">
      <c r="A38" s="671"/>
      <c r="B38" s="671"/>
      <c r="C38" s="671"/>
      <c r="D38" s="671"/>
      <c r="E38" s="671"/>
      <c r="F38" s="671"/>
      <c r="G38" s="671"/>
      <c r="H38" s="671"/>
      <c r="I38" s="671"/>
      <c r="J38" s="671"/>
      <c r="K38" s="671"/>
      <c r="L38" s="671"/>
    </row>
    <row r="39" spans="1:12">
      <c r="A39" s="671"/>
      <c r="B39" s="671"/>
      <c r="C39" s="671"/>
      <c r="D39" s="671"/>
      <c r="E39" s="671"/>
      <c r="F39" s="671"/>
      <c r="G39" s="671"/>
      <c r="H39" s="671"/>
      <c r="I39" s="671"/>
      <c r="J39" s="671"/>
      <c r="K39" s="671"/>
      <c r="L39" s="671"/>
    </row>
    <row r="40" spans="1:12">
      <c r="A40" s="671"/>
      <c r="B40" s="671"/>
      <c r="C40" s="671"/>
      <c r="D40" s="671"/>
      <c r="E40" s="671"/>
      <c r="F40" s="671"/>
      <c r="G40" s="671"/>
      <c r="H40" s="671"/>
      <c r="I40" s="671"/>
      <c r="J40" s="671"/>
      <c r="K40" s="671"/>
      <c r="L40" s="671"/>
    </row>
    <row r="41" spans="1:12">
      <c r="A41" s="671"/>
      <c r="B41" s="671"/>
      <c r="C41" s="671"/>
      <c r="D41" s="671"/>
      <c r="E41" s="671"/>
      <c r="F41" s="671"/>
      <c r="G41" s="671"/>
      <c r="H41" s="671"/>
      <c r="I41" s="671"/>
      <c r="J41" s="671"/>
      <c r="K41" s="671"/>
      <c r="L41" s="671"/>
    </row>
    <row r="42" spans="1:12">
      <c r="A42" s="671"/>
      <c r="B42" s="671"/>
      <c r="C42" s="671"/>
      <c r="D42" s="671"/>
      <c r="E42" s="671"/>
      <c r="F42" s="671"/>
      <c r="G42" s="671"/>
      <c r="H42" s="671"/>
      <c r="I42" s="671"/>
      <c r="J42" s="671"/>
      <c r="K42" s="671"/>
      <c r="L42" s="671"/>
    </row>
    <row r="43" spans="1:12" ht="14.25" thickBot="1">
      <c r="A43" s="960"/>
      <c r="B43" s="960"/>
      <c r="C43" s="960"/>
      <c r="D43" s="960"/>
      <c r="E43" s="960"/>
      <c r="F43" s="960"/>
      <c r="G43" s="960"/>
      <c r="H43" s="960"/>
      <c r="I43" s="960"/>
      <c r="J43" s="960"/>
      <c r="K43" s="960"/>
      <c r="L43" s="960"/>
    </row>
    <row r="44" spans="1:12" ht="30" customHeight="1">
      <c r="A44" s="1694" t="s">
        <v>1851</v>
      </c>
      <c r="B44" s="1693" t="s">
        <v>1852</v>
      </c>
      <c r="C44" s="1693" t="s">
        <v>1853</v>
      </c>
      <c r="D44" s="1693" t="s">
        <v>1854</v>
      </c>
      <c r="E44" s="1693" t="s">
        <v>1855</v>
      </c>
      <c r="F44" s="1693"/>
      <c r="G44" s="1693" t="s">
        <v>1856</v>
      </c>
      <c r="H44" s="1693"/>
      <c r="I44" s="1693" t="s">
        <v>1857</v>
      </c>
      <c r="J44" s="1693"/>
      <c r="K44" s="1693" t="s">
        <v>1858</v>
      </c>
      <c r="L44" s="1700" t="s">
        <v>1859</v>
      </c>
    </row>
    <row r="45" spans="1:12" ht="30" customHeight="1" thickBot="1">
      <c r="A45" s="1695"/>
      <c r="B45" s="1696"/>
      <c r="C45" s="1696"/>
      <c r="D45" s="1696"/>
      <c r="E45" s="672" t="s">
        <v>1860</v>
      </c>
      <c r="F45" s="672" t="s">
        <v>1861</v>
      </c>
      <c r="G45" s="672" t="s">
        <v>1860</v>
      </c>
      <c r="H45" s="672" t="s">
        <v>1861</v>
      </c>
      <c r="I45" s="672" t="s">
        <v>1860</v>
      </c>
      <c r="J45" s="672" t="s">
        <v>1861</v>
      </c>
      <c r="K45" s="1696"/>
      <c r="L45" s="1701"/>
    </row>
    <row r="46" spans="1:12" ht="30.95" customHeight="1" thickTop="1">
      <c r="A46" s="1691" t="s">
        <v>1862</v>
      </c>
      <c r="B46" s="1692"/>
      <c r="C46" s="673"/>
      <c r="D46" s="674"/>
      <c r="E46" s="675"/>
      <c r="F46" s="675"/>
      <c r="G46" s="675"/>
      <c r="H46" s="675"/>
      <c r="I46" s="675"/>
      <c r="J46" s="675"/>
      <c r="K46" s="675"/>
      <c r="L46" s="676"/>
    </row>
    <row r="47" spans="1:12" ht="30.95" customHeight="1">
      <c r="A47" s="677" t="s">
        <v>1863</v>
      </c>
      <c r="B47" s="678" t="s">
        <v>1864</v>
      </c>
      <c r="C47" s="679">
        <v>10</v>
      </c>
      <c r="D47" s="674" t="s">
        <v>1865</v>
      </c>
      <c r="E47" s="675"/>
      <c r="F47" s="680">
        <f>F75</f>
        <v>11715</v>
      </c>
      <c r="G47" s="675"/>
      <c r="H47" s="680">
        <f>H75</f>
        <v>22204</v>
      </c>
      <c r="I47" s="675"/>
      <c r="J47" s="680">
        <f>J75</f>
        <v>2758</v>
      </c>
      <c r="K47" s="680">
        <f>K75</f>
        <v>36677</v>
      </c>
      <c r="L47" s="681"/>
    </row>
    <row r="48" spans="1:12" ht="30.95" customHeight="1">
      <c r="A48" s="677" t="s">
        <v>1863</v>
      </c>
      <c r="B48" s="678" t="s">
        <v>1866</v>
      </c>
      <c r="C48" s="679">
        <v>10</v>
      </c>
      <c r="D48" s="674" t="s">
        <v>1865</v>
      </c>
      <c r="E48" s="675"/>
      <c r="F48" s="680">
        <f>F94</f>
        <v>21430</v>
      </c>
      <c r="G48" s="675"/>
      <c r="H48" s="680">
        <f>H94</f>
        <v>44409</v>
      </c>
      <c r="I48" s="675"/>
      <c r="J48" s="680">
        <f>J94</f>
        <v>5517</v>
      </c>
      <c r="K48" s="680">
        <f>K94</f>
        <v>71356</v>
      </c>
      <c r="L48" s="681"/>
    </row>
    <row r="49" spans="1:12" ht="30.95" customHeight="1">
      <c r="A49" s="677" t="s">
        <v>1863</v>
      </c>
      <c r="B49" s="678" t="s">
        <v>1867</v>
      </c>
      <c r="C49" s="679">
        <v>10</v>
      </c>
      <c r="D49" s="674" t="s">
        <v>1865</v>
      </c>
      <c r="E49" s="675"/>
      <c r="F49" s="680">
        <f>F113</f>
        <v>36376</v>
      </c>
      <c r="G49" s="675"/>
      <c r="H49" s="680">
        <f>H113</f>
        <v>68447</v>
      </c>
      <c r="I49" s="675"/>
      <c r="J49" s="680">
        <f>J113</f>
        <v>8438</v>
      </c>
      <c r="K49" s="680">
        <f>K113</f>
        <v>113261</v>
      </c>
      <c r="L49" s="681"/>
    </row>
    <row r="50" spans="1:12" ht="30.95" customHeight="1">
      <c r="A50" s="677" t="s">
        <v>1863</v>
      </c>
      <c r="B50" s="678" t="s">
        <v>1868</v>
      </c>
      <c r="C50" s="679">
        <v>10</v>
      </c>
      <c r="D50" s="674" t="s">
        <v>1865</v>
      </c>
      <c r="E50" s="675"/>
      <c r="F50" s="680">
        <f>F132</f>
        <v>53004</v>
      </c>
      <c r="G50" s="675"/>
      <c r="H50" s="680">
        <f>H132</f>
        <v>107402</v>
      </c>
      <c r="I50" s="675"/>
      <c r="J50" s="680">
        <f>J132</f>
        <v>12333</v>
      </c>
      <c r="K50" s="680">
        <f>K132</f>
        <v>172739</v>
      </c>
      <c r="L50" s="681"/>
    </row>
    <row r="51" spans="1:12" ht="30.95" customHeight="1">
      <c r="A51" s="677" t="s">
        <v>1863</v>
      </c>
      <c r="B51" s="678" t="s">
        <v>1869</v>
      </c>
      <c r="C51" s="682">
        <v>10</v>
      </c>
      <c r="D51" s="674" t="s">
        <v>1865</v>
      </c>
      <c r="E51" s="675"/>
      <c r="F51" s="680">
        <f>F176</f>
        <v>144123</v>
      </c>
      <c r="G51" s="675"/>
      <c r="H51" s="680">
        <f>H176</f>
        <v>264444</v>
      </c>
      <c r="I51" s="675"/>
      <c r="J51" s="680">
        <f>J176</f>
        <v>24485</v>
      </c>
      <c r="K51" s="680">
        <f>K176</f>
        <v>433052</v>
      </c>
      <c r="L51" s="681"/>
    </row>
    <row r="52" spans="1:12" ht="30.95" customHeight="1">
      <c r="A52" s="677" t="s">
        <v>1863</v>
      </c>
      <c r="B52" s="678" t="s">
        <v>1870</v>
      </c>
      <c r="C52" s="679">
        <v>10</v>
      </c>
      <c r="D52" s="674" t="s">
        <v>1865</v>
      </c>
      <c r="E52" s="675"/>
      <c r="F52" s="680">
        <f>F214</f>
        <v>176257</v>
      </c>
      <c r="G52" s="675"/>
      <c r="H52" s="680">
        <f>H214</f>
        <v>321956</v>
      </c>
      <c r="I52" s="675"/>
      <c r="J52" s="680">
        <f>J214</f>
        <v>31626</v>
      </c>
      <c r="K52" s="680">
        <f>K214</f>
        <v>529839</v>
      </c>
      <c r="L52" s="681"/>
    </row>
    <row r="53" spans="1:12" ht="30.95" customHeight="1">
      <c r="A53" s="677"/>
      <c r="B53" s="678"/>
      <c r="C53" s="679"/>
      <c r="D53" s="674"/>
      <c r="E53" s="675"/>
      <c r="F53" s="680"/>
      <c r="G53" s="675"/>
      <c r="H53" s="675"/>
      <c r="I53" s="675"/>
      <c r="J53" s="675"/>
      <c r="K53" s="675"/>
      <c r="L53" s="683"/>
    </row>
    <row r="54" spans="1:12" ht="30.95" customHeight="1">
      <c r="A54" s="677"/>
      <c r="B54" s="678"/>
      <c r="C54" s="679"/>
      <c r="D54" s="674"/>
      <c r="E54" s="675"/>
      <c r="F54" s="684"/>
      <c r="G54" s="675"/>
      <c r="H54" s="675"/>
      <c r="I54" s="675"/>
      <c r="J54" s="675"/>
      <c r="K54" s="675"/>
      <c r="L54" s="683"/>
    </row>
    <row r="55" spans="1:12" ht="30.95" customHeight="1">
      <c r="A55" s="677"/>
      <c r="B55" s="678"/>
      <c r="C55" s="679"/>
      <c r="D55" s="674"/>
      <c r="E55" s="675"/>
      <c r="F55" s="684"/>
      <c r="G55" s="675"/>
      <c r="H55" s="675"/>
      <c r="I55" s="675"/>
      <c r="J55" s="675"/>
      <c r="K55" s="675"/>
      <c r="L55" s="683"/>
    </row>
    <row r="56" spans="1:12" ht="30.95" customHeight="1">
      <c r="A56" s="677"/>
      <c r="B56" s="678"/>
      <c r="C56" s="685"/>
      <c r="D56" s="674"/>
      <c r="E56" s="675"/>
      <c r="F56" s="680"/>
      <c r="G56" s="686"/>
      <c r="H56" s="680"/>
      <c r="I56" s="686"/>
      <c r="J56" s="680"/>
      <c r="K56" s="675"/>
      <c r="L56" s="683"/>
    </row>
    <row r="57" spans="1:12" ht="30.95" customHeight="1">
      <c r="A57" s="677"/>
      <c r="B57" s="678"/>
      <c r="C57" s="685"/>
      <c r="D57" s="674"/>
      <c r="E57" s="675"/>
      <c r="F57" s="684"/>
      <c r="G57" s="675"/>
      <c r="H57" s="675"/>
      <c r="I57" s="675"/>
      <c r="J57" s="675"/>
      <c r="K57" s="675"/>
      <c r="L57" s="683"/>
    </row>
    <row r="58" spans="1:12" ht="30.95" customHeight="1">
      <c r="A58" s="677"/>
      <c r="B58" s="678"/>
      <c r="C58" s="685"/>
      <c r="D58" s="674"/>
      <c r="E58" s="675"/>
      <c r="F58" s="684"/>
      <c r="G58" s="675"/>
      <c r="H58" s="675"/>
      <c r="I58" s="675"/>
      <c r="J58" s="675"/>
      <c r="K58" s="675"/>
      <c r="L58" s="683"/>
    </row>
    <row r="59" spans="1:12" ht="30.95" customHeight="1">
      <c r="A59" s="677"/>
      <c r="B59" s="678"/>
      <c r="C59" s="685"/>
      <c r="D59" s="674"/>
      <c r="E59" s="675"/>
      <c r="F59" s="684"/>
      <c r="G59" s="675"/>
      <c r="H59" s="675"/>
      <c r="I59" s="675"/>
      <c r="J59" s="675"/>
      <c r="K59" s="675"/>
      <c r="L59" s="683"/>
    </row>
    <row r="60" spans="1:12" ht="30.95" customHeight="1">
      <c r="A60" s="677"/>
      <c r="B60" s="678"/>
      <c r="C60" s="685"/>
      <c r="D60" s="674"/>
      <c r="E60" s="675"/>
      <c r="F60" s="684"/>
      <c r="G60" s="675"/>
      <c r="H60" s="675"/>
      <c r="I60" s="675"/>
      <c r="J60" s="675"/>
      <c r="K60" s="675"/>
      <c r="L60" s="683"/>
    </row>
    <row r="61" spans="1:12" ht="30.95" customHeight="1">
      <c r="A61" s="677"/>
      <c r="B61" s="678"/>
      <c r="C61" s="685"/>
      <c r="D61" s="674"/>
      <c r="E61" s="675"/>
      <c r="F61" s="684"/>
      <c r="G61" s="675"/>
      <c r="H61" s="675"/>
      <c r="I61" s="675"/>
      <c r="J61" s="675"/>
      <c r="K61" s="675"/>
      <c r="L61" s="683"/>
    </row>
    <row r="62" spans="1:12" ht="30.95" customHeight="1">
      <c r="A62" s="677"/>
      <c r="B62" s="678"/>
      <c r="C62" s="685"/>
      <c r="D62" s="674"/>
      <c r="E62" s="675"/>
      <c r="F62" s="684"/>
      <c r="G62" s="675"/>
      <c r="H62" s="675"/>
      <c r="I62" s="675"/>
      <c r="J62" s="675"/>
      <c r="K62" s="675"/>
      <c r="L62" s="683"/>
    </row>
    <row r="63" spans="1:12" ht="30.95" customHeight="1">
      <c r="A63" s="677"/>
      <c r="B63" s="678"/>
      <c r="C63" s="685"/>
      <c r="D63" s="674"/>
      <c r="E63" s="675"/>
      <c r="F63" s="684"/>
      <c r="G63" s="675"/>
      <c r="H63" s="675"/>
      <c r="I63" s="675"/>
      <c r="J63" s="675"/>
      <c r="K63" s="675"/>
      <c r="L63" s="683"/>
    </row>
    <row r="64" spans="1:12" ht="30.95" customHeight="1" thickBot="1">
      <c r="A64" s="687"/>
      <c r="B64" s="688"/>
      <c r="C64" s="689"/>
      <c r="D64" s="688"/>
      <c r="E64" s="690"/>
      <c r="F64" s="691"/>
      <c r="G64" s="690"/>
      <c r="H64" s="690"/>
      <c r="I64" s="690"/>
      <c r="J64" s="690"/>
      <c r="K64" s="690"/>
      <c r="L64" s="692"/>
    </row>
    <row r="65" spans="1:12" ht="30.95" customHeight="1">
      <c r="A65" s="693" t="s">
        <v>1871</v>
      </c>
      <c r="B65" s="674"/>
      <c r="C65" s="674"/>
      <c r="D65" s="674"/>
      <c r="E65" s="675"/>
      <c r="F65" s="675"/>
      <c r="G65" s="675"/>
      <c r="H65" s="675"/>
      <c r="I65" s="675"/>
      <c r="J65" s="675"/>
      <c r="K65" s="675"/>
      <c r="L65" s="676"/>
    </row>
    <row r="66" spans="1:12" ht="30.95" customHeight="1">
      <c r="A66" s="694" t="s">
        <v>1872</v>
      </c>
      <c r="B66" s="678" t="s">
        <v>1873</v>
      </c>
      <c r="C66" s="695">
        <v>5.5E-2</v>
      </c>
      <c r="D66" s="678" t="s">
        <v>1874</v>
      </c>
      <c r="E66" s="696">
        <f ca="1">'018-ASNA-자재산출근거'!I5</f>
        <v>90000</v>
      </c>
      <c r="F66" s="684">
        <f>TRUNC(C66*E66,1)</f>
        <v>4950</v>
      </c>
      <c r="G66" s="696"/>
      <c r="H66" s="696"/>
      <c r="I66" s="696"/>
      <c r="J66" s="696"/>
      <c r="K66" s="696"/>
      <c r="L66" s="683"/>
    </row>
    <row r="67" spans="1:12" ht="30.95" customHeight="1">
      <c r="A67" s="694" t="s">
        <v>1875</v>
      </c>
      <c r="B67" s="678" t="s">
        <v>1876</v>
      </c>
      <c r="C67" s="697">
        <v>0.25</v>
      </c>
      <c r="D67" s="678" t="s">
        <v>1877</v>
      </c>
      <c r="E67" s="696">
        <f ca="1">'018-ASNA-자재산출근거'!I6</f>
        <v>8000</v>
      </c>
      <c r="F67" s="684">
        <f>TRUNC(C67*E67,1)</f>
        <v>2000</v>
      </c>
      <c r="G67" s="696"/>
      <c r="H67" s="696"/>
      <c r="I67" s="696"/>
      <c r="J67" s="696"/>
      <c r="K67" s="696"/>
      <c r="L67" s="683"/>
    </row>
    <row r="68" spans="1:12" ht="30.95" customHeight="1">
      <c r="A68" s="694" t="s">
        <v>1878</v>
      </c>
      <c r="B68" s="678" t="s">
        <v>1879</v>
      </c>
      <c r="C68" s="697">
        <v>0.17</v>
      </c>
      <c r="D68" s="678" t="s">
        <v>1880</v>
      </c>
      <c r="E68" s="696">
        <f ca="1">'021-ASNA-중기목록'!E5</f>
        <v>4515</v>
      </c>
      <c r="F68" s="684">
        <f ca="1">TRUNC(C68*E68,1)</f>
        <v>767.5</v>
      </c>
      <c r="G68" s="696">
        <f ca="1">'021-ASNA-중기목록'!F5</f>
        <v>14455</v>
      </c>
      <c r="H68" s="684">
        <f ca="1">TRUNC(G68*C68,1)</f>
        <v>2457.3000000000002</v>
      </c>
      <c r="I68" s="696">
        <f ca="1">'021-ASNA-중기목록'!G5</f>
        <v>5226</v>
      </c>
      <c r="J68" s="684">
        <f>TRUNC(I68*C68,1)</f>
        <v>888.4</v>
      </c>
      <c r="K68" s="696"/>
      <c r="L68" s="683"/>
    </row>
    <row r="69" spans="1:12" ht="30.95" customHeight="1">
      <c r="A69" s="694" t="s">
        <v>1881</v>
      </c>
      <c r="B69" s="678" t="s">
        <v>1882</v>
      </c>
      <c r="C69" s="698">
        <v>0.17</v>
      </c>
      <c r="D69" s="678" t="s">
        <v>1880</v>
      </c>
      <c r="E69" s="696">
        <f ca="1">'021-ASNA-중기목록'!E6</f>
        <v>9917</v>
      </c>
      <c r="F69" s="684">
        <f ca="1">TRUNC(C69*E69,1)</f>
        <v>1685.8</v>
      </c>
      <c r="G69" s="696"/>
      <c r="H69" s="684"/>
      <c r="I69" s="696">
        <f ca="1">'021-ASNA-중기목록'!G6</f>
        <v>1051</v>
      </c>
      <c r="J69" s="684">
        <f>TRUNC(I69*C69,1)</f>
        <v>178.6</v>
      </c>
      <c r="K69" s="696"/>
      <c r="L69" s="683"/>
    </row>
    <row r="70" spans="1:12" ht="30.95" customHeight="1">
      <c r="A70" s="694" t="s">
        <v>1883</v>
      </c>
      <c r="B70" s="678" t="s">
        <v>1884</v>
      </c>
      <c r="C70" s="698">
        <v>0.17</v>
      </c>
      <c r="D70" s="678" t="s">
        <v>1880</v>
      </c>
      <c r="E70" s="696">
        <f ca="1">'021-ASNA-중기목록'!E7</f>
        <v>13600</v>
      </c>
      <c r="F70" s="684">
        <f ca="1">TRUNC(C70*E70,1)</f>
        <v>2312</v>
      </c>
      <c r="G70" s="696">
        <f ca="1">'021-ASNA-중기목록'!F7</f>
        <v>16611</v>
      </c>
      <c r="H70" s="684">
        <f ca="1">TRUNC(G70*C70,1)</f>
        <v>2823.8</v>
      </c>
      <c r="I70" s="696">
        <f ca="1">'021-ASNA-중기목록'!G7</f>
        <v>7823</v>
      </c>
      <c r="J70" s="684">
        <f>TRUNC(I70*C70,1)</f>
        <v>1329.9</v>
      </c>
      <c r="K70" s="696"/>
      <c r="L70" s="683"/>
    </row>
    <row r="71" spans="1:12" ht="30.95" customHeight="1">
      <c r="A71" s="694" t="s">
        <v>1885</v>
      </c>
      <c r="B71" s="678" t="s">
        <v>1886</v>
      </c>
      <c r="C71" s="698">
        <v>0.17</v>
      </c>
      <c r="D71" s="678" t="s">
        <v>1880</v>
      </c>
      <c r="E71" s="696"/>
      <c r="F71" s="684"/>
      <c r="G71" s="696"/>
      <c r="H71" s="696"/>
      <c r="I71" s="696">
        <f ca="1">'021-ASNA-중기목록'!G8</f>
        <v>2129</v>
      </c>
      <c r="J71" s="684">
        <f>TRUNC(I71*C71,1)</f>
        <v>361.9</v>
      </c>
      <c r="K71" s="696"/>
      <c r="L71" s="683"/>
    </row>
    <row r="72" spans="1:12" ht="30.95" customHeight="1">
      <c r="A72" s="694" t="s">
        <v>1887</v>
      </c>
      <c r="B72" s="678"/>
      <c r="C72" s="699">
        <v>8.5000000000000006E-2</v>
      </c>
      <c r="D72" s="678" t="s">
        <v>1888</v>
      </c>
      <c r="E72" s="696"/>
      <c r="F72" s="684"/>
      <c r="G72" s="696">
        <f ca="1">'019-ASNA-노무비산출근거'!B4</f>
        <v>84404</v>
      </c>
      <c r="H72" s="684">
        <f>TRUNC(G72*C72,1)</f>
        <v>7174.3</v>
      </c>
      <c r="I72" s="696"/>
      <c r="J72" s="696"/>
      <c r="K72" s="696"/>
      <c r="L72" s="683"/>
    </row>
    <row r="73" spans="1:12" ht="30.95" customHeight="1">
      <c r="A73" s="694" t="s">
        <v>1889</v>
      </c>
      <c r="B73" s="678"/>
      <c r="C73" s="699">
        <v>2.5000000000000001E-2</v>
      </c>
      <c r="D73" s="678" t="s">
        <v>1888</v>
      </c>
      <c r="E73" s="696"/>
      <c r="F73" s="684"/>
      <c r="G73" s="696">
        <f ca="1">'019-ASNA-노무비산출근거'!B6</f>
        <v>86521</v>
      </c>
      <c r="H73" s="684">
        <f>TRUNC(G73*C73,1)</f>
        <v>2163</v>
      </c>
      <c r="I73" s="696"/>
      <c r="J73" s="696"/>
      <c r="K73" s="696"/>
      <c r="L73" s="683"/>
    </row>
    <row r="74" spans="1:12" ht="30.95" customHeight="1">
      <c r="A74" s="694" t="s">
        <v>1890</v>
      </c>
      <c r="B74" s="678"/>
      <c r="C74" s="698">
        <v>0.11</v>
      </c>
      <c r="D74" s="678" t="s">
        <v>1888</v>
      </c>
      <c r="E74" s="696"/>
      <c r="F74" s="684"/>
      <c r="G74" s="696">
        <f ca="1">'019-ASNA-노무비산출근거'!B5</f>
        <v>68965</v>
      </c>
      <c r="H74" s="684">
        <f>TRUNC(G74*C74,1)</f>
        <v>7586.1</v>
      </c>
      <c r="I74" s="696"/>
      <c r="J74" s="696"/>
      <c r="K74" s="696"/>
      <c r="L74" s="683"/>
    </row>
    <row r="75" spans="1:12" ht="30.95" customHeight="1">
      <c r="A75" s="694" t="s">
        <v>1858</v>
      </c>
      <c r="B75" s="678"/>
      <c r="C75" s="679">
        <v>10</v>
      </c>
      <c r="D75" s="674" t="s">
        <v>1865</v>
      </c>
      <c r="E75" s="675"/>
      <c r="F75" s="680">
        <f>INT(F74+F73+F72+F71+F70+F69+F68+F67+F66)</f>
        <v>11715</v>
      </c>
      <c r="G75" s="675"/>
      <c r="H75" s="680">
        <f>INT(H74+H73+H72+H71+H70+H69+H68+H67+H66)</f>
        <v>22204</v>
      </c>
      <c r="I75" s="675"/>
      <c r="J75" s="680">
        <f>INT(J74+J73+J72+J71+J70+J69+J68+J67+J66)</f>
        <v>2758</v>
      </c>
      <c r="K75" s="675">
        <f>INT(J75+H75+F75)</f>
        <v>36677</v>
      </c>
      <c r="L75" s="683"/>
    </row>
    <row r="76" spans="1:12" ht="30.95" customHeight="1">
      <c r="A76" s="677"/>
      <c r="B76" s="678"/>
      <c r="C76" s="700"/>
      <c r="D76" s="674"/>
      <c r="E76" s="675"/>
      <c r="F76" s="680"/>
      <c r="G76" s="696"/>
      <c r="H76" s="675"/>
      <c r="I76" s="696"/>
      <c r="J76" s="675"/>
      <c r="K76" s="675"/>
      <c r="L76" s="683"/>
    </row>
    <row r="77" spans="1:12" ht="30.95" customHeight="1">
      <c r="A77" s="701"/>
      <c r="B77" s="702"/>
      <c r="C77" s="703"/>
      <c r="D77" s="702"/>
      <c r="E77" s="704"/>
      <c r="F77" s="705"/>
      <c r="G77" s="704"/>
      <c r="H77" s="705"/>
      <c r="I77" s="705"/>
      <c r="J77" s="705"/>
      <c r="K77" s="704"/>
      <c r="L77" s="706"/>
    </row>
    <row r="78" spans="1:12" ht="30.95" customHeight="1">
      <c r="A78" s="694"/>
      <c r="B78" s="678"/>
      <c r="C78" s="679"/>
      <c r="D78" s="678"/>
      <c r="E78" s="696"/>
      <c r="F78" s="680"/>
      <c r="G78" s="680"/>
      <c r="H78" s="680"/>
      <c r="I78" s="680"/>
      <c r="J78" s="680"/>
      <c r="K78" s="680"/>
      <c r="L78" s="683"/>
    </row>
    <row r="79" spans="1:12" ht="30.95" customHeight="1">
      <c r="A79" s="694"/>
      <c r="B79" s="678"/>
      <c r="C79" s="699"/>
      <c r="D79" s="678"/>
      <c r="E79" s="696"/>
      <c r="F79" s="696"/>
      <c r="G79" s="696"/>
      <c r="H79" s="696"/>
      <c r="I79" s="696"/>
      <c r="J79" s="696"/>
      <c r="K79" s="696"/>
      <c r="L79" s="683"/>
    </row>
    <row r="80" spans="1:12" ht="30.95" customHeight="1">
      <c r="A80" s="694"/>
      <c r="B80" s="678"/>
      <c r="C80" s="699"/>
      <c r="D80" s="678"/>
      <c r="E80" s="696"/>
      <c r="F80" s="696"/>
      <c r="G80" s="696"/>
      <c r="H80" s="696"/>
      <c r="I80" s="696"/>
      <c r="J80" s="696"/>
      <c r="K80" s="696"/>
      <c r="L80" s="683"/>
    </row>
    <row r="81" spans="1:12" ht="30.95" customHeight="1">
      <c r="A81" s="694"/>
      <c r="B81" s="678"/>
      <c r="C81" s="699"/>
      <c r="D81" s="678"/>
      <c r="E81" s="696"/>
      <c r="F81" s="696"/>
      <c r="G81" s="696"/>
      <c r="H81" s="696"/>
      <c r="I81" s="696"/>
      <c r="J81" s="696"/>
      <c r="K81" s="696"/>
      <c r="L81" s="683"/>
    </row>
    <row r="82" spans="1:12" ht="30.95" customHeight="1">
      <c r="A82" s="694"/>
      <c r="B82" s="678"/>
      <c r="C82" s="678"/>
      <c r="D82" s="678"/>
      <c r="E82" s="696"/>
      <c r="F82" s="696"/>
      <c r="G82" s="696"/>
      <c r="H82" s="696"/>
      <c r="I82" s="696"/>
      <c r="J82" s="696"/>
      <c r="K82" s="696"/>
      <c r="L82" s="683"/>
    </row>
    <row r="83" spans="1:12" ht="30.95" customHeight="1" thickBot="1">
      <c r="A83" s="687"/>
      <c r="B83" s="688"/>
      <c r="C83" s="688"/>
      <c r="D83" s="688"/>
      <c r="E83" s="690"/>
      <c r="F83" s="690"/>
      <c r="G83" s="690"/>
      <c r="H83" s="690"/>
      <c r="I83" s="690"/>
      <c r="J83" s="690"/>
      <c r="K83" s="690"/>
      <c r="L83" s="692"/>
    </row>
    <row r="84" spans="1:12" ht="30.95" customHeight="1">
      <c r="A84" s="816" t="s">
        <v>1891</v>
      </c>
      <c r="B84" s="817"/>
      <c r="C84" s="674"/>
      <c r="D84" s="674"/>
      <c r="E84" s="675"/>
      <c r="F84" s="675"/>
      <c r="G84" s="675"/>
      <c r="H84" s="675"/>
      <c r="I84" s="675"/>
      <c r="J84" s="675"/>
      <c r="K84" s="675"/>
      <c r="L84" s="676"/>
    </row>
    <row r="85" spans="1:12" ht="30.95" customHeight="1">
      <c r="A85" s="694" t="s">
        <v>1872</v>
      </c>
      <c r="B85" s="678" t="s">
        <v>1892</v>
      </c>
      <c r="C85" s="697">
        <v>0.11</v>
      </c>
      <c r="D85" s="678" t="s">
        <v>1874</v>
      </c>
      <c r="E85" s="696">
        <f ca="1">'018-ASNA-자재산출근거'!I5</f>
        <v>90000</v>
      </c>
      <c r="F85" s="684">
        <f>TRUNC(C85*E85,1)</f>
        <v>9900</v>
      </c>
      <c r="G85" s="696"/>
      <c r="H85" s="696"/>
      <c r="I85" s="696"/>
      <c r="J85" s="696"/>
      <c r="K85" s="696"/>
      <c r="L85" s="683"/>
    </row>
    <row r="86" spans="1:12" ht="30.95" customHeight="1">
      <c r="A86" s="694" t="s">
        <v>1875</v>
      </c>
      <c r="B86" s="678" t="s">
        <v>1876</v>
      </c>
      <c r="C86" s="697">
        <v>0.25</v>
      </c>
      <c r="D86" s="678" t="s">
        <v>1877</v>
      </c>
      <c r="E86" s="696">
        <f ca="1">'018-ASNA-자재산출근거'!I6</f>
        <v>8000</v>
      </c>
      <c r="F86" s="684">
        <f>TRUNC(C86*E86,1)</f>
        <v>2000</v>
      </c>
      <c r="G86" s="696"/>
      <c r="H86" s="696"/>
      <c r="I86" s="696"/>
      <c r="J86" s="696"/>
      <c r="K86" s="696"/>
      <c r="L86" s="683"/>
    </row>
    <row r="87" spans="1:12" ht="30.95" customHeight="1">
      <c r="A87" s="694" t="s">
        <v>1878</v>
      </c>
      <c r="B87" s="678" t="s">
        <v>1879</v>
      </c>
      <c r="C87" s="697">
        <v>0.34</v>
      </c>
      <c r="D87" s="678" t="s">
        <v>1880</v>
      </c>
      <c r="E87" s="696">
        <f ca="1">'021-ASNA-중기목록'!E5</f>
        <v>4515</v>
      </c>
      <c r="F87" s="684">
        <f ca="1">TRUNC(C87*E87,1)</f>
        <v>1535.1</v>
      </c>
      <c r="G87" s="696">
        <f ca="1">'021-ASNA-중기목록'!F5</f>
        <v>14455</v>
      </c>
      <c r="H87" s="684">
        <f ca="1">TRUNC(G87*C87,1)</f>
        <v>4914.7</v>
      </c>
      <c r="I87" s="696">
        <f ca="1">'021-ASNA-중기목록'!G5</f>
        <v>5226</v>
      </c>
      <c r="J87" s="684">
        <f>TRUNC(I87*C87,1)</f>
        <v>1776.8</v>
      </c>
      <c r="K87" s="696"/>
      <c r="L87" s="683"/>
    </row>
    <row r="88" spans="1:12" ht="30.95" customHeight="1">
      <c r="A88" s="694" t="s">
        <v>1881</v>
      </c>
      <c r="B88" s="678" t="s">
        <v>1882</v>
      </c>
      <c r="C88" s="698">
        <v>0.34</v>
      </c>
      <c r="D88" s="678" t="s">
        <v>1880</v>
      </c>
      <c r="E88" s="696">
        <f ca="1">'021-ASNA-중기목록'!E6</f>
        <v>9917</v>
      </c>
      <c r="F88" s="684">
        <f ca="1">TRUNC(C88*E88,1)</f>
        <v>3371.7</v>
      </c>
      <c r="G88" s="696"/>
      <c r="H88" s="696"/>
      <c r="I88" s="696">
        <f ca="1">'021-ASNA-중기목록'!G6</f>
        <v>1051</v>
      </c>
      <c r="J88" s="684">
        <f>TRUNC(I88*C88,1)</f>
        <v>357.3</v>
      </c>
      <c r="K88" s="696"/>
      <c r="L88" s="683"/>
    </row>
    <row r="89" spans="1:12" ht="30.95" customHeight="1">
      <c r="A89" s="694" t="s">
        <v>1883</v>
      </c>
      <c r="B89" s="678" t="s">
        <v>1884</v>
      </c>
      <c r="C89" s="698">
        <v>0.34</v>
      </c>
      <c r="D89" s="678" t="s">
        <v>1880</v>
      </c>
      <c r="E89" s="696">
        <f ca="1">'021-ASNA-중기목록'!E7</f>
        <v>13600</v>
      </c>
      <c r="F89" s="684">
        <f ca="1">TRUNC(C89*E89,1)</f>
        <v>4624</v>
      </c>
      <c r="G89" s="696">
        <f ca="1">'021-ASNA-중기목록'!F7</f>
        <v>16611</v>
      </c>
      <c r="H89" s="684">
        <f ca="1">TRUNC(G89*C89,1)</f>
        <v>5647.7</v>
      </c>
      <c r="I89" s="696">
        <f ca="1">'021-ASNA-중기목록'!G7</f>
        <v>7823</v>
      </c>
      <c r="J89" s="684">
        <f>TRUNC(I89*C89,1)</f>
        <v>2659.8</v>
      </c>
      <c r="K89" s="696"/>
      <c r="L89" s="683"/>
    </row>
    <row r="90" spans="1:12" ht="30.95" customHeight="1">
      <c r="A90" s="694" t="s">
        <v>1885</v>
      </c>
      <c r="B90" s="678" t="s">
        <v>1886</v>
      </c>
      <c r="C90" s="698">
        <v>0.34</v>
      </c>
      <c r="D90" s="678" t="s">
        <v>1880</v>
      </c>
      <c r="E90" s="696"/>
      <c r="F90" s="684"/>
      <c r="G90" s="696"/>
      <c r="H90" s="696"/>
      <c r="I90" s="696">
        <f ca="1">'021-ASNA-중기목록'!G8</f>
        <v>2129</v>
      </c>
      <c r="J90" s="684">
        <f>TRUNC(I90*C90,1)</f>
        <v>723.8</v>
      </c>
      <c r="K90" s="696"/>
      <c r="L90" s="683"/>
    </row>
    <row r="91" spans="1:12" ht="30.95" customHeight="1">
      <c r="A91" s="694" t="s">
        <v>1887</v>
      </c>
      <c r="B91" s="678"/>
      <c r="C91" s="698">
        <v>0.17</v>
      </c>
      <c r="D91" s="678" t="s">
        <v>1888</v>
      </c>
      <c r="E91" s="696"/>
      <c r="F91" s="684"/>
      <c r="G91" s="696">
        <f ca="1">'019-ASNA-노무비산출근거'!B4</f>
        <v>84404</v>
      </c>
      <c r="H91" s="684">
        <f>TRUNC(G91*C91,1)</f>
        <v>14348.6</v>
      </c>
      <c r="I91" s="696" t="s">
        <v>1893</v>
      </c>
      <c r="J91" s="696"/>
      <c r="K91" s="696"/>
      <c r="L91" s="683"/>
    </row>
    <row r="92" spans="1:12" ht="30.95" customHeight="1">
      <c r="A92" s="694" t="s">
        <v>1889</v>
      </c>
      <c r="B92" s="678"/>
      <c r="C92" s="698">
        <v>0.05</v>
      </c>
      <c r="D92" s="678" t="s">
        <v>1888</v>
      </c>
      <c r="E92" s="696"/>
      <c r="F92" s="684"/>
      <c r="G92" s="696">
        <f ca="1">'019-ASNA-노무비산출근거'!B6</f>
        <v>86521</v>
      </c>
      <c r="H92" s="684">
        <f>TRUNC(G92*C92,1)</f>
        <v>4326</v>
      </c>
      <c r="I92" s="696"/>
      <c r="J92" s="696"/>
      <c r="K92" s="696"/>
      <c r="L92" s="683"/>
    </row>
    <row r="93" spans="1:12" ht="30.95" customHeight="1">
      <c r="A93" s="694" t="s">
        <v>1890</v>
      </c>
      <c r="B93" s="678"/>
      <c r="C93" s="698">
        <v>0.22</v>
      </c>
      <c r="D93" s="678" t="s">
        <v>1888</v>
      </c>
      <c r="E93" s="696"/>
      <c r="F93" s="684"/>
      <c r="G93" s="696">
        <f ca="1">'019-ASNA-노무비산출근거'!B5</f>
        <v>68965</v>
      </c>
      <c r="H93" s="684">
        <f>TRUNC(G93*C93,1)</f>
        <v>15172.3</v>
      </c>
      <c r="I93" s="696"/>
      <c r="J93" s="696"/>
      <c r="K93" s="696"/>
      <c r="L93" s="683"/>
    </row>
    <row r="94" spans="1:12" ht="30.95" customHeight="1">
      <c r="A94" s="694" t="s">
        <v>1858</v>
      </c>
      <c r="B94" s="678"/>
      <c r="C94" s="679">
        <v>10</v>
      </c>
      <c r="D94" s="674" t="s">
        <v>1865</v>
      </c>
      <c r="E94" s="675"/>
      <c r="F94" s="680">
        <f>INT(F93+F92+F91+F90+F89+F88+F87+F86+F85)</f>
        <v>21430</v>
      </c>
      <c r="G94" s="675"/>
      <c r="H94" s="680">
        <f>INT(H93+H92+H91+H90+H89+H88+H87+H86+H85)</f>
        <v>44409</v>
      </c>
      <c r="I94" s="675"/>
      <c r="J94" s="680">
        <f>INT(J93+J92+J91+J90+J89+J88+J87+J86+J85)</f>
        <v>5517</v>
      </c>
      <c r="K94" s="675">
        <f>INT(J94+H94+F94)</f>
        <v>71356</v>
      </c>
      <c r="L94" s="683"/>
    </row>
    <row r="95" spans="1:12" ht="30.95" customHeight="1">
      <c r="A95" s="677"/>
      <c r="B95" s="678"/>
      <c r="C95" s="700"/>
      <c r="D95" s="674"/>
      <c r="E95" s="675"/>
      <c r="F95" s="680"/>
      <c r="G95" s="696"/>
      <c r="H95" s="675"/>
      <c r="I95" s="696"/>
      <c r="J95" s="675"/>
      <c r="K95" s="675"/>
      <c r="L95" s="683"/>
    </row>
    <row r="96" spans="1:12" ht="30.95" customHeight="1">
      <c r="A96" s="701"/>
      <c r="B96" s="702"/>
      <c r="C96" s="703"/>
      <c r="D96" s="702"/>
      <c r="E96" s="704"/>
      <c r="F96" s="705"/>
      <c r="G96" s="704"/>
      <c r="H96" s="705"/>
      <c r="I96" s="705"/>
      <c r="J96" s="705"/>
      <c r="K96" s="704"/>
      <c r="L96" s="706"/>
    </row>
    <row r="97" spans="1:12" ht="30.95" customHeight="1">
      <c r="A97" s="694"/>
      <c r="B97" s="678"/>
      <c r="C97" s="679"/>
      <c r="D97" s="678"/>
      <c r="E97" s="696"/>
      <c r="F97" s="680"/>
      <c r="G97" s="680"/>
      <c r="H97" s="680"/>
      <c r="I97" s="680"/>
      <c r="J97" s="680"/>
      <c r="K97" s="680"/>
      <c r="L97" s="683"/>
    </row>
    <row r="98" spans="1:12" ht="30.95" customHeight="1">
      <c r="A98" s="694"/>
      <c r="B98" s="678"/>
      <c r="C98" s="699"/>
      <c r="D98" s="678"/>
      <c r="E98" s="696"/>
      <c r="F98" s="696"/>
      <c r="G98" s="696"/>
      <c r="H98" s="696"/>
      <c r="I98" s="696"/>
      <c r="J98" s="696"/>
      <c r="K98" s="696"/>
      <c r="L98" s="683"/>
    </row>
    <row r="99" spans="1:12" ht="30.95" customHeight="1">
      <c r="A99" s="694"/>
      <c r="B99" s="678"/>
      <c r="C99" s="699"/>
      <c r="D99" s="678"/>
      <c r="E99" s="696"/>
      <c r="F99" s="696"/>
      <c r="G99" s="696"/>
      <c r="H99" s="696"/>
      <c r="I99" s="696"/>
      <c r="J99" s="696"/>
      <c r="K99" s="696"/>
      <c r="L99" s="683"/>
    </row>
    <row r="100" spans="1:12" ht="30.95" customHeight="1">
      <c r="A100" s="694"/>
      <c r="B100" s="678"/>
      <c r="C100" s="699"/>
      <c r="D100" s="678"/>
      <c r="E100" s="696"/>
      <c r="F100" s="696"/>
      <c r="G100" s="696"/>
      <c r="H100" s="696"/>
      <c r="I100" s="696"/>
      <c r="J100" s="696"/>
      <c r="K100" s="696"/>
      <c r="L100" s="683"/>
    </row>
    <row r="101" spans="1:12" ht="30.95" customHeight="1">
      <c r="A101" s="694"/>
      <c r="B101" s="678"/>
      <c r="C101" s="678"/>
      <c r="D101" s="678"/>
      <c r="E101" s="696"/>
      <c r="F101" s="696"/>
      <c r="G101" s="696"/>
      <c r="H101" s="696"/>
      <c r="I101" s="696"/>
      <c r="J101" s="696"/>
      <c r="K101" s="696"/>
      <c r="L101" s="683"/>
    </row>
    <row r="102" spans="1:12" ht="30.95" customHeight="1" thickBot="1">
      <c r="A102" s="687"/>
      <c r="B102" s="688"/>
      <c r="C102" s="688"/>
      <c r="D102" s="688"/>
      <c r="E102" s="690"/>
      <c r="F102" s="690"/>
      <c r="G102" s="690"/>
      <c r="H102" s="690"/>
      <c r="I102" s="690"/>
      <c r="J102" s="690"/>
      <c r="K102" s="690"/>
      <c r="L102" s="692"/>
    </row>
    <row r="103" spans="1:12" ht="30.95" customHeight="1">
      <c r="A103" s="816" t="s">
        <v>1894</v>
      </c>
      <c r="B103" s="817"/>
      <c r="C103" s="674"/>
      <c r="D103" s="674"/>
      <c r="E103" s="675"/>
      <c r="F103" s="675"/>
      <c r="G103" s="675"/>
      <c r="H103" s="675"/>
      <c r="I103" s="675"/>
      <c r="J103" s="675"/>
      <c r="K103" s="675"/>
      <c r="L103" s="676"/>
    </row>
    <row r="104" spans="1:12" ht="30.95" customHeight="1">
      <c r="A104" s="694" t="s">
        <v>1872</v>
      </c>
      <c r="B104" s="678" t="s">
        <v>1892</v>
      </c>
      <c r="C104" s="697">
        <v>0.22</v>
      </c>
      <c r="D104" s="678" t="s">
        <v>1874</v>
      </c>
      <c r="E104" s="696">
        <f ca="1">'018-ASNA-자재산출근거'!I5</f>
        <v>90000</v>
      </c>
      <c r="F104" s="684">
        <f>TRUNC(C104*E104,1)</f>
        <v>19800</v>
      </c>
      <c r="G104" s="696"/>
      <c r="H104" s="696"/>
      <c r="I104" s="696"/>
      <c r="J104" s="696"/>
      <c r="K104" s="696"/>
      <c r="L104" s="683"/>
    </row>
    <row r="105" spans="1:12" ht="30.95" customHeight="1">
      <c r="A105" s="694" t="s">
        <v>1875</v>
      </c>
      <c r="B105" s="678" t="s">
        <v>1876</v>
      </c>
      <c r="C105" s="697">
        <v>0.25</v>
      </c>
      <c r="D105" s="678" t="s">
        <v>1877</v>
      </c>
      <c r="E105" s="696">
        <f ca="1">'018-ASNA-자재산출근거'!I6</f>
        <v>8000</v>
      </c>
      <c r="F105" s="684">
        <f>TRUNC(C105*E105,1)</f>
        <v>2000</v>
      </c>
      <c r="G105" s="696"/>
      <c r="H105" s="696"/>
      <c r="I105" s="696"/>
      <c r="J105" s="696"/>
      <c r="K105" s="696"/>
      <c r="L105" s="683"/>
    </row>
    <row r="106" spans="1:12" ht="30.95" customHeight="1">
      <c r="A106" s="694" t="s">
        <v>1878</v>
      </c>
      <c r="B106" s="678" t="s">
        <v>1879</v>
      </c>
      <c r="C106" s="697">
        <v>0.52</v>
      </c>
      <c r="D106" s="678" t="s">
        <v>1880</v>
      </c>
      <c r="E106" s="696">
        <f ca="1">'021-ASNA-중기목록'!E5</f>
        <v>4515</v>
      </c>
      <c r="F106" s="684">
        <f ca="1">TRUNC(C106*E106,1)</f>
        <v>2347.8000000000002</v>
      </c>
      <c r="G106" s="696">
        <f ca="1">'021-ASNA-중기목록'!F5</f>
        <v>14455</v>
      </c>
      <c r="H106" s="684">
        <f ca="1">TRUNC(G106*C106,1)</f>
        <v>7516.6</v>
      </c>
      <c r="I106" s="696">
        <f ca="1">'021-ASNA-중기목록'!G5</f>
        <v>5226</v>
      </c>
      <c r="J106" s="684">
        <f>TRUNC(I106*C106,1)</f>
        <v>2717.5</v>
      </c>
      <c r="K106" s="696"/>
      <c r="L106" s="683"/>
    </row>
    <row r="107" spans="1:12" ht="30.95" customHeight="1">
      <c r="A107" s="694" t="s">
        <v>1881</v>
      </c>
      <c r="B107" s="678" t="s">
        <v>1882</v>
      </c>
      <c r="C107" s="698">
        <v>0.52</v>
      </c>
      <c r="D107" s="678" t="s">
        <v>1880</v>
      </c>
      <c r="E107" s="696">
        <f ca="1">'021-ASNA-중기목록'!E6</f>
        <v>9917</v>
      </c>
      <c r="F107" s="684">
        <f ca="1">TRUNC(C107*E107,1)</f>
        <v>5156.8</v>
      </c>
      <c r="G107" s="696"/>
      <c r="H107" s="696"/>
      <c r="I107" s="696">
        <f ca="1">'021-ASNA-중기목록'!G6</f>
        <v>1051</v>
      </c>
      <c r="J107" s="684">
        <f>TRUNC(I107*C107,1)</f>
        <v>546.5</v>
      </c>
      <c r="K107" s="696"/>
      <c r="L107" s="683"/>
    </row>
    <row r="108" spans="1:12" ht="30.95" customHeight="1">
      <c r="A108" s="694" t="s">
        <v>1883</v>
      </c>
      <c r="B108" s="678" t="s">
        <v>1884</v>
      </c>
      <c r="C108" s="698">
        <v>0.52</v>
      </c>
      <c r="D108" s="678" t="s">
        <v>1880</v>
      </c>
      <c r="E108" s="696">
        <f ca="1">'021-ASNA-중기목록'!E7</f>
        <v>13600</v>
      </c>
      <c r="F108" s="684">
        <f ca="1">TRUNC(C108*E108,1)</f>
        <v>7072</v>
      </c>
      <c r="G108" s="696">
        <f ca="1">'021-ASNA-중기목록'!F7</f>
        <v>16611</v>
      </c>
      <c r="H108" s="684">
        <f ca="1">TRUNC(G108*C108,1)</f>
        <v>8637.7000000000007</v>
      </c>
      <c r="I108" s="696">
        <f ca="1">'021-ASNA-중기목록'!G7</f>
        <v>7823</v>
      </c>
      <c r="J108" s="684">
        <f>TRUNC(I108*C108,1)</f>
        <v>4067.9</v>
      </c>
      <c r="K108" s="696"/>
      <c r="L108" s="683"/>
    </row>
    <row r="109" spans="1:12" ht="30.95" customHeight="1">
      <c r="A109" s="694" t="s">
        <v>1885</v>
      </c>
      <c r="B109" s="678" t="s">
        <v>1886</v>
      </c>
      <c r="C109" s="698">
        <v>0.52</v>
      </c>
      <c r="D109" s="678" t="s">
        <v>1880</v>
      </c>
      <c r="E109" s="696"/>
      <c r="F109" s="684"/>
      <c r="G109" s="696"/>
      <c r="H109" s="696"/>
      <c r="I109" s="696">
        <f ca="1">'021-ASNA-중기목록'!G8</f>
        <v>2129</v>
      </c>
      <c r="J109" s="684">
        <f>TRUNC(I109*C109,1)</f>
        <v>1107</v>
      </c>
      <c r="K109" s="696"/>
      <c r="L109" s="683"/>
    </row>
    <row r="110" spans="1:12" ht="30.95" customHeight="1">
      <c r="A110" s="694" t="s">
        <v>1887</v>
      </c>
      <c r="B110" s="678"/>
      <c r="C110" s="698">
        <v>0.27</v>
      </c>
      <c r="D110" s="678" t="s">
        <v>1888</v>
      </c>
      <c r="E110" s="696"/>
      <c r="F110" s="684"/>
      <c r="G110" s="696">
        <f ca="1">'019-ASNA-노무비산출근거'!B4</f>
        <v>84404</v>
      </c>
      <c r="H110" s="684">
        <f>TRUNC(G110*C110,1)</f>
        <v>22789</v>
      </c>
      <c r="I110" s="696"/>
      <c r="J110" s="696"/>
      <c r="K110" s="696"/>
      <c r="L110" s="683"/>
    </row>
    <row r="111" spans="1:12" ht="30.95" customHeight="1">
      <c r="A111" s="694" t="s">
        <v>1889</v>
      </c>
      <c r="B111" s="678"/>
      <c r="C111" s="698">
        <v>7.0000000000000007E-2</v>
      </c>
      <c r="D111" s="678" t="s">
        <v>1888</v>
      </c>
      <c r="E111" s="696"/>
      <c r="F111" s="684"/>
      <c r="G111" s="696">
        <f ca="1">'019-ASNA-노무비산출근거'!B6</f>
        <v>86521</v>
      </c>
      <c r="H111" s="684">
        <f>TRUNC(G111*C111,1)</f>
        <v>6056.4</v>
      </c>
      <c r="I111" s="696"/>
      <c r="J111" s="696"/>
      <c r="K111" s="696"/>
      <c r="L111" s="683"/>
    </row>
    <row r="112" spans="1:12" ht="30.95" customHeight="1">
      <c r="A112" s="694" t="s">
        <v>1890</v>
      </c>
      <c r="B112" s="678"/>
      <c r="C112" s="698">
        <v>0.34</v>
      </c>
      <c r="D112" s="678" t="s">
        <v>1888</v>
      </c>
      <c r="E112" s="696"/>
      <c r="F112" s="684"/>
      <c r="G112" s="696">
        <f ca="1">'019-ASNA-노무비산출근거'!B5</f>
        <v>68965</v>
      </c>
      <c r="H112" s="684">
        <f>TRUNC(G112*C112,1)</f>
        <v>23448.1</v>
      </c>
      <c r="I112" s="696"/>
      <c r="J112" s="696"/>
      <c r="K112" s="696"/>
      <c r="L112" s="683"/>
    </row>
    <row r="113" spans="1:12" ht="30.95" customHeight="1">
      <c r="A113" s="694" t="s">
        <v>1858</v>
      </c>
      <c r="B113" s="678"/>
      <c r="C113" s="679">
        <v>10</v>
      </c>
      <c r="D113" s="674" t="s">
        <v>1865</v>
      </c>
      <c r="E113" s="675"/>
      <c r="F113" s="680">
        <f>INT(F112+F111+F110+F109+F108+F107+F106+F105+F104)</f>
        <v>36376</v>
      </c>
      <c r="G113" s="675"/>
      <c r="H113" s="680">
        <f>INT(H112+H111+H110+H109+H108+H107+H106+H105+H104)</f>
        <v>68447</v>
      </c>
      <c r="I113" s="675"/>
      <c r="J113" s="680">
        <f>INT(J112+J111+J110+J109+J108+J107+J106+J105+J104)</f>
        <v>8438</v>
      </c>
      <c r="K113" s="675">
        <f>INT(J113+H113+F113)</f>
        <v>113261</v>
      </c>
      <c r="L113" s="683"/>
    </row>
    <row r="114" spans="1:12" ht="30.95" customHeight="1">
      <c r="A114" s="677"/>
      <c r="B114" s="678"/>
      <c r="C114" s="700"/>
      <c r="D114" s="674"/>
      <c r="E114" s="675"/>
      <c r="F114" s="680"/>
      <c r="G114" s="696"/>
      <c r="H114" s="675"/>
      <c r="I114" s="696"/>
      <c r="J114" s="675"/>
      <c r="K114" s="675"/>
      <c r="L114" s="683"/>
    </row>
    <row r="115" spans="1:12" ht="30.95" customHeight="1">
      <c r="A115" s="701"/>
      <c r="B115" s="702"/>
      <c r="C115" s="703"/>
      <c r="D115" s="702"/>
      <c r="E115" s="704"/>
      <c r="F115" s="705"/>
      <c r="G115" s="704"/>
      <c r="H115" s="705"/>
      <c r="I115" s="705"/>
      <c r="J115" s="705"/>
      <c r="K115" s="704"/>
      <c r="L115" s="706"/>
    </row>
    <row r="116" spans="1:12" ht="30.95" customHeight="1">
      <c r="A116" s="694"/>
      <c r="B116" s="678"/>
      <c r="C116" s="679"/>
      <c r="D116" s="678"/>
      <c r="E116" s="696"/>
      <c r="F116" s="680"/>
      <c r="G116" s="680"/>
      <c r="H116" s="680"/>
      <c r="I116" s="680"/>
      <c r="J116" s="680"/>
      <c r="K116" s="680"/>
      <c r="L116" s="683"/>
    </row>
    <row r="117" spans="1:12" ht="30.95" customHeight="1">
      <c r="A117" s="694"/>
      <c r="B117" s="678"/>
      <c r="C117" s="699"/>
      <c r="D117" s="678"/>
      <c r="E117" s="696"/>
      <c r="F117" s="696"/>
      <c r="G117" s="696"/>
      <c r="H117" s="696"/>
      <c r="I117" s="696"/>
      <c r="J117" s="696"/>
      <c r="K117" s="696"/>
      <c r="L117" s="683"/>
    </row>
    <row r="118" spans="1:12" ht="30.95" customHeight="1">
      <c r="A118" s="694"/>
      <c r="B118" s="678"/>
      <c r="C118" s="699"/>
      <c r="D118" s="678"/>
      <c r="E118" s="696"/>
      <c r="F118" s="696"/>
      <c r="G118" s="696"/>
      <c r="H118" s="696"/>
      <c r="I118" s="696"/>
      <c r="J118" s="696"/>
      <c r="K118" s="696"/>
      <c r="L118" s="683"/>
    </row>
    <row r="119" spans="1:12" ht="30.95" customHeight="1">
      <c r="A119" s="694"/>
      <c r="B119" s="678"/>
      <c r="C119" s="699"/>
      <c r="D119" s="678"/>
      <c r="E119" s="696"/>
      <c r="F119" s="696"/>
      <c r="G119" s="696"/>
      <c r="H119" s="696"/>
      <c r="I119" s="696"/>
      <c r="J119" s="696"/>
      <c r="K119" s="696"/>
      <c r="L119" s="683"/>
    </row>
    <row r="120" spans="1:12" ht="30.95" customHeight="1">
      <c r="A120" s="694"/>
      <c r="B120" s="678"/>
      <c r="C120" s="678"/>
      <c r="D120" s="678"/>
      <c r="E120" s="696"/>
      <c r="F120" s="696"/>
      <c r="G120" s="696"/>
      <c r="H120" s="696"/>
      <c r="I120" s="696"/>
      <c r="J120" s="696"/>
      <c r="K120" s="696"/>
      <c r="L120" s="683"/>
    </row>
    <row r="121" spans="1:12" ht="30.95" customHeight="1" thickBot="1">
      <c r="A121" s="687"/>
      <c r="B121" s="688"/>
      <c r="C121" s="688"/>
      <c r="D121" s="688"/>
      <c r="E121" s="690"/>
      <c r="F121" s="690"/>
      <c r="G121" s="690"/>
      <c r="H121" s="690"/>
      <c r="I121" s="690"/>
      <c r="J121" s="690"/>
      <c r="K121" s="690"/>
      <c r="L121" s="692"/>
    </row>
    <row r="122" spans="1:12" ht="30.95" customHeight="1">
      <c r="A122" s="1506" t="s">
        <v>1895</v>
      </c>
      <c r="B122" s="1507"/>
      <c r="C122" s="674"/>
      <c r="D122" s="674"/>
      <c r="E122" s="675"/>
      <c r="F122" s="675"/>
      <c r="G122" s="675"/>
      <c r="H122" s="675"/>
      <c r="I122" s="675"/>
      <c r="J122" s="675"/>
      <c r="K122" s="675"/>
      <c r="L122" s="676"/>
    </row>
    <row r="123" spans="1:12" ht="30.95" customHeight="1">
      <c r="A123" s="694" t="s">
        <v>1872</v>
      </c>
      <c r="B123" s="678" t="s">
        <v>1892</v>
      </c>
      <c r="C123" s="697">
        <v>0.33</v>
      </c>
      <c r="D123" s="678" t="s">
        <v>1874</v>
      </c>
      <c r="E123" s="696">
        <f ca="1">'018-ASNA-자재산출근거'!I5</f>
        <v>90000</v>
      </c>
      <c r="F123" s="684">
        <f>TRUNC(C123*E123,1)</f>
        <v>29700</v>
      </c>
      <c r="G123" s="696"/>
      <c r="H123" s="696"/>
      <c r="I123" s="696"/>
      <c r="J123" s="696"/>
      <c r="K123" s="696"/>
      <c r="L123" s="683"/>
    </row>
    <row r="124" spans="1:12" ht="30.95" customHeight="1">
      <c r="A124" s="694" t="s">
        <v>1875</v>
      </c>
      <c r="B124" s="678" t="s">
        <v>1876</v>
      </c>
      <c r="C124" s="697">
        <v>0.25</v>
      </c>
      <c r="D124" s="678" t="s">
        <v>1877</v>
      </c>
      <c r="E124" s="696">
        <f ca="1">'018-ASNA-자재산출근거'!I6</f>
        <v>8000</v>
      </c>
      <c r="F124" s="684">
        <f>TRUNC(C124*E124,1)</f>
        <v>2000</v>
      </c>
      <c r="G124" s="696"/>
      <c r="H124" s="696"/>
      <c r="I124" s="696"/>
      <c r="J124" s="696"/>
      <c r="K124" s="696"/>
      <c r="L124" s="683"/>
    </row>
    <row r="125" spans="1:12" ht="30.95" customHeight="1">
      <c r="A125" s="694" t="s">
        <v>1878</v>
      </c>
      <c r="B125" s="678" t="s">
        <v>1879</v>
      </c>
      <c r="C125" s="697">
        <v>0.76</v>
      </c>
      <c r="D125" s="678" t="s">
        <v>1880</v>
      </c>
      <c r="E125" s="696">
        <f ca="1">'021-ASNA-중기목록'!E5</f>
        <v>4515</v>
      </c>
      <c r="F125" s="684">
        <f ca="1">TRUNC(C125*E125,1)</f>
        <v>3431.4</v>
      </c>
      <c r="G125" s="696">
        <f ca="1">'021-ASNA-중기목록'!F5</f>
        <v>14455</v>
      </c>
      <c r="H125" s="684">
        <f ca="1">TRUNC(G125*C125,1)</f>
        <v>10985.8</v>
      </c>
      <c r="I125" s="696">
        <f ca="1">'021-ASNA-중기목록'!G5</f>
        <v>5226</v>
      </c>
      <c r="J125" s="684">
        <f>TRUNC(I125*C125,1)</f>
        <v>3971.7</v>
      </c>
      <c r="K125" s="696"/>
      <c r="L125" s="683"/>
    </row>
    <row r="126" spans="1:12" ht="30.95" customHeight="1">
      <c r="A126" s="694" t="s">
        <v>1881</v>
      </c>
      <c r="B126" s="678" t="s">
        <v>1882</v>
      </c>
      <c r="C126" s="698">
        <v>0.76</v>
      </c>
      <c r="D126" s="678" t="s">
        <v>1880</v>
      </c>
      <c r="E126" s="696">
        <f ca="1">'021-ASNA-중기목록'!E6</f>
        <v>9917</v>
      </c>
      <c r="F126" s="684">
        <f ca="1">TRUNC(C126*E126,1)</f>
        <v>7536.9</v>
      </c>
      <c r="G126" s="696"/>
      <c r="H126" s="696"/>
      <c r="I126" s="696">
        <f ca="1">'021-ASNA-중기목록'!G6</f>
        <v>1051</v>
      </c>
      <c r="J126" s="684">
        <f>TRUNC(I126*C126,1)</f>
        <v>798.7</v>
      </c>
      <c r="K126" s="696"/>
      <c r="L126" s="683"/>
    </row>
    <row r="127" spans="1:12" ht="30.95" customHeight="1">
      <c r="A127" s="694" t="s">
        <v>1883</v>
      </c>
      <c r="B127" s="678" t="s">
        <v>1884</v>
      </c>
      <c r="C127" s="698">
        <v>0.76</v>
      </c>
      <c r="D127" s="678" t="s">
        <v>1880</v>
      </c>
      <c r="E127" s="696">
        <f ca="1">'021-ASNA-중기목록'!E7</f>
        <v>13600</v>
      </c>
      <c r="F127" s="684">
        <f ca="1">TRUNC(C127*E127,1)</f>
        <v>10336</v>
      </c>
      <c r="G127" s="696">
        <f ca="1">'021-ASNA-중기목록'!F7</f>
        <v>16611</v>
      </c>
      <c r="H127" s="684">
        <f ca="1">TRUNC(G127*C127,1)</f>
        <v>12624.3</v>
      </c>
      <c r="I127" s="696">
        <f ca="1">'021-ASNA-중기목록'!G7</f>
        <v>7823</v>
      </c>
      <c r="J127" s="684">
        <f>TRUNC(I127*C127,1)</f>
        <v>5945.4</v>
      </c>
      <c r="K127" s="696"/>
      <c r="L127" s="683"/>
    </row>
    <row r="128" spans="1:12" ht="30.95" customHeight="1">
      <c r="A128" s="694" t="s">
        <v>1885</v>
      </c>
      <c r="B128" s="678" t="s">
        <v>1896</v>
      </c>
      <c r="C128" s="698">
        <v>0.76</v>
      </c>
      <c r="D128" s="678" t="s">
        <v>1880</v>
      </c>
      <c r="E128" s="696"/>
      <c r="F128" s="684"/>
      <c r="G128" s="696"/>
      <c r="H128" s="696"/>
      <c r="I128" s="696">
        <f ca="1">'021-ASNA-중기목록'!G8</f>
        <v>2129</v>
      </c>
      <c r="J128" s="684">
        <f>TRUNC(I128*C128,1)</f>
        <v>1618</v>
      </c>
      <c r="K128" s="696"/>
      <c r="L128" s="683"/>
    </row>
    <row r="129" spans="1:12" ht="30.95" customHeight="1">
      <c r="A129" s="694" t="s">
        <v>1887</v>
      </c>
      <c r="B129" s="678"/>
      <c r="C129" s="685">
        <v>0.4</v>
      </c>
      <c r="D129" s="678" t="s">
        <v>1888</v>
      </c>
      <c r="E129" s="696"/>
      <c r="F129" s="684"/>
      <c r="G129" s="696">
        <f ca="1">'019-ASNA-노무비산출근거'!B4</f>
        <v>84404</v>
      </c>
      <c r="H129" s="684">
        <f>TRUNC(G129*C129,1)</f>
        <v>33761.599999999999</v>
      </c>
      <c r="I129" s="696"/>
      <c r="J129" s="696"/>
      <c r="K129" s="696"/>
      <c r="L129" s="683"/>
    </row>
    <row r="130" spans="1:12" ht="30.95" customHeight="1">
      <c r="A130" s="694" t="s">
        <v>1889</v>
      </c>
      <c r="B130" s="678"/>
      <c r="C130" s="685">
        <v>0.1</v>
      </c>
      <c r="D130" s="678" t="s">
        <v>1888</v>
      </c>
      <c r="E130" s="696"/>
      <c r="F130" s="684"/>
      <c r="G130" s="696">
        <f ca="1">'019-ASNA-노무비산출근거'!B6</f>
        <v>86521</v>
      </c>
      <c r="H130" s="684">
        <f>TRUNC(G130*C130,1)</f>
        <v>8652.1</v>
      </c>
      <c r="I130" s="696"/>
      <c r="J130" s="696"/>
      <c r="K130" s="696"/>
      <c r="L130" s="683"/>
    </row>
    <row r="131" spans="1:12" ht="30.95" customHeight="1">
      <c r="A131" s="694" t="s">
        <v>1890</v>
      </c>
      <c r="B131" s="678"/>
      <c r="C131" s="685">
        <v>0.6</v>
      </c>
      <c r="D131" s="678" t="s">
        <v>1888</v>
      </c>
      <c r="E131" s="696"/>
      <c r="F131" s="684"/>
      <c r="G131" s="696">
        <f ca="1">'019-ASNA-노무비산출근거'!B5</f>
        <v>68965</v>
      </c>
      <c r="H131" s="684">
        <f>TRUNC(G131*C131,1)</f>
        <v>41379</v>
      </c>
      <c r="I131" s="696"/>
      <c r="J131" s="696"/>
      <c r="K131" s="696"/>
      <c r="L131" s="683"/>
    </row>
    <row r="132" spans="1:12" ht="30.95" customHeight="1">
      <c r="A132" s="694" t="s">
        <v>1858</v>
      </c>
      <c r="B132" s="678"/>
      <c r="C132" s="679">
        <v>10</v>
      </c>
      <c r="D132" s="674" t="s">
        <v>1865</v>
      </c>
      <c r="E132" s="675"/>
      <c r="F132" s="680">
        <f>INT(F131+F130+F129+F128+F127+F126+F125+F124+F123)</f>
        <v>53004</v>
      </c>
      <c r="G132" s="675"/>
      <c r="H132" s="680">
        <f>INT(H131+H130+H129+H128+H127+H126+H125+H124+H123)</f>
        <v>107402</v>
      </c>
      <c r="I132" s="675"/>
      <c r="J132" s="680">
        <f>INT(J131+J130+J129+J128+J127+J126+J125+J124+J123)</f>
        <v>12333</v>
      </c>
      <c r="K132" s="675">
        <f>INT(J132+H132+F132)</f>
        <v>172739</v>
      </c>
      <c r="L132" s="683"/>
    </row>
    <row r="133" spans="1:12" ht="30.95" customHeight="1">
      <c r="A133" s="677"/>
      <c r="B133" s="678"/>
      <c r="C133" s="700"/>
      <c r="D133" s="674"/>
      <c r="E133" s="675"/>
      <c r="F133" s="680"/>
      <c r="G133" s="696"/>
      <c r="H133" s="675"/>
      <c r="I133" s="696"/>
      <c r="J133" s="675"/>
      <c r="K133" s="675"/>
      <c r="L133" s="683"/>
    </row>
    <row r="134" spans="1:12" ht="30.95" customHeight="1">
      <c r="A134" s="701"/>
      <c r="B134" s="702"/>
      <c r="C134" s="703"/>
      <c r="D134" s="702"/>
      <c r="E134" s="704"/>
      <c r="F134" s="705"/>
      <c r="G134" s="704"/>
      <c r="H134" s="705"/>
      <c r="I134" s="705"/>
      <c r="J134" s="705"/>
      <c r="K134" s="704"/>
      <c r="L134" s="706"/>
    </row>
    <row r="135" spans="1:12" ht="30.95" customHeight="1">
      <c r="A135" s="694"/>
      <c r="B135" s="678"/>
      <c r="C135" s="679"/>
      <c r="D135" s="678"/>
      <c r="E135" s="696"/>
      <c r="F135" s="680"/>
      <c r="G135" s="680"/>
      <c r="H135" s="680"/>
      <c r="I135" s="680"/>
      <c r="J135" s="680"/>
      <c r="K135" s="680"/>
      <c r="L135" s="683"/>
    </row>
    <row r="136" spans="1:12" ht="30.95" customHeight="1">
      <c r="A136" s="694"/>
      <c r="B136" s="678"/>
      <c r="C136" s="699"/>
      <c r="D136" s="678"/>
      <c r="E136" s="696"/>
      <c r="F136" s="696"/>
      <c r="G136" s="696"/>
      <c r="H136" s="696"/>
      <c r="I136" s="696"/>
      <c r="J136" s="696"/>
      <c r="K136" s="696"/>
      <c r="L136" s="683"/>
    </row>
    <row r="137" spans="1:12" ht="30.95" customHeight="1">
      <c r="A137" s="694"/>
      <c r="B137" s="678"/>
      <c r="C137" s="699"/>
      <c r="D137" s="678"/>
      <c r="E137" s="696"/>
      <c r="F137" s="696"/>
      <c r="G137" s="696"/>
      <c r="H137" s="696"/>
      <c r="I137" s="696"/>
      <c r="J137" s="696"/>
      <c r="K137" s="696"/>
      <c r="L137" s="683"/>
    </row>
    <row r="138" spans="1:12" ht="30.95" customHeight="1">
      <c r="A138" s="694"/>
      <c r="B138" s="678"/>
      <c r="C138" s="699"/>
      <c r="D138" s="678"/>
      <c r="E138" s="696"/>
      <c r="F138" s="696"/>
      <c r="G138" s="696"/>
      <c r="H138" s="696"/>
      <c r="I138" s="696"/>
      <c r="J138" s="696"/>
      <c r="K138" s="696"/>
      <c r="L138" s="683"/>
    </row>
    <row r="139" spans="1:12" ht="30.95" customHeight="1">
      <c r="A139" s="694"/>
      <c r="B139" s="678"/>
      <c r="C139" s="678"/>
      <c r="D139" s="678"/>
      <c r="E139" s="696"/>
      <c r="F139" s="696"/>
      <c r="G139" s="696"/>
      <c r="H139" s="696"/>
      <c r="I139" s="696"/>
      <c r="J139" s="696"/>
      <c r="K139" s="696"/>
      <c r="L139" s="683"/>
    </row>
    <row r="140" spans="1:12" ht="30.95" customHeight="1" thickBot="1">
      <c r="A140" s="687"/>
      <c r="B140" s="688"/>
      <c r="C140" s="688"/>
      <c r="D140" s="688"/>
      <c r="E140" s="690"/>
      <c r="F140" s="690"/>
      <c r="G140" s="690"/>
      <c r="H140" s="690"/>
      <c r="I140" s="690"/>
      <c r="J140" s="690"/>
      <c r="K140" s="690"/>
      <c r="L140" s="692"/>
    </row>
    <row r="141" spans="1:12" ht="30.95" customHeight="1">
      <c r="A141" s="816" t="s">
        <v>1897</v>
      </c>
      <c r="B141" s="817"/>
      <c r="C141" s="674"/>
      <c r="D141" s="674"/>
      <c r="E141" s="675"/>
      <c r="F141" s="675"/>
      <c r="G141" s="675"/>
      <c r="H141" s="675"/>
      <c r="I141" s="675"/>
      <c r="J141" s="675"/>
      <c r="K141" s="675"/>
      <c r="L141" s="676"/>
    </row>
    <row r="142" spans="1:12" ht="30.95" customHeight="1">
      <c r="A142" s="707" t="s">
        <v>1898</v>
      </c>
      <c r="B142" s="678"/>
      <c r="C142" s="697"/>
      <c r="D142" s="678"/>
      <c r="E142" s="696"/>
      <c r="F142" s="684"/>
      <c r="G142" s="696"/>
      <c r="H142" s="696"/>
      <c r="I142" s="696"/>
      <c r="J142" s="696"/>
      <c r="K142" s="696"/>
      <c r="L142" s="683"/>
    </row>
    <row r="143" spans="1:12" ht="30.95" customHeight="1">
      <c r="A143" s="694" t="s">
        <v>1899</v>
      </c>
      <c r="B143" s="678" t="s">
        <v>1900</v>
      </c>
      <c r="C143" s="697">
        <v>1.1399999999999999</v>
      </c>
      <c r="D143" s="678" t="s">
        <v>1880</v>
      </c>
      <c r="E143" s="708">
        <f ca="1">'021-ASNA-중기목록'!E3</f>
        <v>12135</v>
      </c>
      <c r="F143" s="684">
        <f ca="1">TRUNC(C143*E143,1)</f>
        <v>13833.9</v>
      </c>
      <c r="G143" s="696">
        <f ca="1">'021-ASNA-중기목록'!F3</f>
        <v>14455</v>
      </c>
      <c r="H143" s="684">
        <f ca="1">TRUNC(G143*C143,1)</f>
        <v>16478.7</v>
      </c>
      <c r="I143" s="696">
        <f ca="1">'021-ASNA-중기목록'!G3</f>
        <v>3752</v>
      </c>
      <c r="J143" s="684">
        <f>TRUNC(I143*C143,1)</f>
        <v>4277.2</v>
      </c>
      <c r="K143" s="696"/>
      <c r="L143" s="683"/>
    </row>
    <row r="144" spans="1:12" ht="30.95" customHeight="1">
      <c r="A144" s="694" t="s">
        <v>1901</v>
      </c>
      <c r="B144" s="678" t="s">
        <v>1902</v>
      </c>
      <c r="C144" s="682">
        <v>1</v>
      </c>
      <c r="D144" s="678" t="s">
        <v>1903</v>
      </c>
      <c r="E144" s="696"/>
      <c r="F144" s="684">
        <f>ROUNDDOWN((H145+H146)*0.025,1)</f>
        <v>1682.5</v>
      </c>
      <c r="G144" s="696"/>
      <c r="H144" s="684"/>
      <c r="I144" s="696"/>
      <c r="J144" s="684"/>
      <c r="K144" s="696"/>
      <c r="L144" s="683"/>
    </row>
    <row r="145" spans="1:12" ht="30.95" customHeight="1">
      <c r="A145" s="694" t="s">
        <v>1904</v>
      </c>
      <c r="B145" s="678"/>
      <c r="C145" s="698">
        <v>0.43</v>
      </c>
      <c r="D145" s="678" t="s">
        <v>1888</v>
      </c>
      <c r="E145" s="696"/>
      <c r="F145" s="684"/>
      <c r="G145" s="696">
        <f ca="1">'019-ASNA-노무비산출근거'!B7</f>
        <v>79533</v>
      </c>
      <c r="H145" s="684">
        <f>TRUNC(G145*C145,1)</f>
        <v>34199.1</v>
      </c>
      <c r="I145" s="696"/>
      <c r="J145" s="684"/>
      <c r="K145" s="696"/>
      <c r="L145" s="683"/>
    </row>
    <row r="146" spans="1:12" ht="30.95" customHeight="1">
      <c r="A146" s="694" t="s">
        <v>1905</v>
      </c>
      <c r="B146" s="678"/>
      <c r="C146" s="698">
        <v>0.48</v>
      </c>
      <c r="D146" s="678" t="s">
        <v>1888</v>
      </c>
      <c r="E146" s="696"/>
      <c r="F146" s="684"/>
      <c r="G146" s="696">
        <f ca="1">'019-ASNA-노무비산출근거'!B5</f>
        <v>68965</v>
      </c>
      <c r="H146" s="684">
        <f>TRUNC(G146*C146,1)</f>
        <v>33103.199999999997</v>
      </c>
      <c r="I146" s="696"/>
      <c r="J146" s="684"/>
      <c r="K146" s="696"/>
      <c r="L146" s="683"/>
    </row>
    <row r="147" spans="1:12" ht="30.95" customHeight="1">
      <c r="A147" s="694" t="s">
        <v>1906</v>
      </c>
      <c r="B147" s="678"/>
      <c r="C147" s="698"/>
      <c r="D147" s="678"/>
      <c r="E147" s="696"/>
      <c r="F147" s="696">
        <f>INT(F143+F144)</f>
        <v>15516</v>
      </c>
      <c r="G147" s="696"/>
      <c r="H147" s="696">
        <f>INT(H143+H145+H146)</f>
        <v>83781</v>
      </c>
      <c r="I147" s="696"/>
      <c r="J147" s="696">
        <f>INT(J143+J144)</f>
        <v>4277</v>
      </c>
      <c r="K147" s="675">
        <f>INT(J147+H147+F147)</f>
        <v>103574</v>
      </c>
      <c r="L147" s="683"/>
    </row>
    <row r="148" spans="1:12" ht="30.95" customHeight="1">
      <c r="A148" s="694"/>
      <c r="B148" s="678"/>
      <c r="C148" s="698"/>
      <c r="D148" s="678"/>
      <c r="E148" s="696"/>
      <c r="F148" s="684"/>
      <c r="G148" s="696"/>
      <c r="H148" s="684"/>
      <c r="I148" s="696"/>
      <c r="J148" s="696"/>
      <c r="K148" s="696"/>
      <c r="L148" s="683"/>
    </row>
    <row r="149" spans="1:12" ht="30.95" customHeight="1">
      <c r="A149" s="707" t="s">
        <v>1907</v>
      </c>
      <c r="B149" s="678"/>
      <c r="C149" s="698"/>
      <c r="D149" s="678"/>
      <c r="E149" s="696"/>
      <c r="F149" s="684"/>
      <c r="G149" s="696"/>
      <c r="H149" s="684"/>
      <c r="I149" s="696"/>
      <c r="J149" s="696"/>
      <c r="K149" s="696"/>
      <c r="L149" s="683"/>
    </row>
    <row r="150" spans="1:12" ht="30.95" customHeight="1">
      <c r="A150" s="694" t="s">
        <v>1908</v>
      </c>
      <c r="B150" s="678" t="s">
        <v>1909</v>
      </c>
      <c r="C150" s="685">
        <v>1.2</v>
      </c>
      <c r="D150" s="678" t="s">
        <v>1910</v>
      </c>
      <c r="E150" s="696">
        <f ca="1">'018-ASNA-자재산출근거'!I7</f>
        <v>1200</v>
      </c>
      <c r="F150" s="684">
        <f>TRUNC(C150*E150,1)</f>
        <v>1440</v>
      </c>
      <c r="G150" s="696"/>
      <c r="H150" s="684"/>
      <c r="I150" s="696"/>
      <c r="J150" s="696"/>
      <c r="K150" s="696"/>
      <c r="L150" s="683"/>
    </row>
    <row r="151" spans="1:12" ht="30.95" customHeight="1">
      <c r="A151" s="694" t="s">
        <v>1911</v>
      </c>
      <c r="B151" s="678" t="s">
        <v>1912</v>
      </c>
      <c r="C151" s="685">
        <v>11</v>
      </c>
      <c r="D151" s="678" t="s">
        <v>1910</v>
      </c>
      <c r="E151" s="696">
        <f ca="1">'018-ASNA-자재산출근거'!I8</f>
        <v>900</v>
      </c>
      <c r="F151" s="684">
        <f>TRUNC(C151*E151,1)</f>
        <v>9900</v>
      </c>
      <c r="G151" s="696"/>
      <c r="H151" s="684"/>
      <c r="I151" s="696"/>
      <c r="J151" s="696"/>
      <c r="K151" s="696"/>
      <c r="L151" s="683"/>
    </row>
    <row r="152" spans="1:12" ht="30.95" customHeight="1">
      <c r="A152" s="694" t="s">
        <v>1913</v>
      </c>
      <c r="B152" s="678"/>
      <c r="C152" s="698">
        <v>0.14000000000000001</v>
      </c>
      <c r="D152" s="678" t="s">
        <v>1888</v>
      </c>
      <c r="E152" s="696"/>
      <c r="F152" s="696"/>
      <c r="G152" s="696">
        <f ca="1">'019-ASNA-노무비산출근거'!B4</f>
        <v>84404</v>
      </c>
      <c r="H152" s="684">
        <f>TRUNC(G152*C152,1)</f>
        <v>11816.5</v>
      </c>
      <c r="I152" s="696"/>
      <c r="J152" s="696"/>
      <c r="K152" s="696"/>
      <c r="L152" s="683"/>
    </row>
    <row r="153" spans="1:12" ht="30.95" customHeight="1">
      <c r="A153" s="694" t="s">
        <v>1905</v>
      </c>
      <c r="B153" s="678"/>
      <c r="C153" s="698">
        <v>0.48</v>
      </c>
      <c r="D153" s="678" t="s">
        <v>1888</v>
      </c>
      <c r="E153" s="696"/>
      <c r="F153" s="696"/>
      <c r="G153" s="696">
        <f ca="1">'019-ASNA-노무비산출근거'!B5</f>
        <v>68965</v>
      </c>
      <c r="H153" s="684">
        <f>TRUNC(G153*C153,1)</f>
        <v>33103.199999999997</v>
      </c>
      <c r="I153" s="696"/>
      <c r="J153" s="696"/>
      <c r="K153" s="696"/>
      <c r="L153" s="683"/>
    </row>
    <row r="154" spans="1:12" ht="30.95" customHeight="1">
      <c r="A154" s="694" t="s">
        <v>1906</v>
      </c>
      <c r="B154" s="678"/>
      <c r="C154" s="699"/>
      <c r="D154" s="678"/>
      <c r="E154" s="696"/>
      <c r="F154" s="696">
        <f>INT(F150+F151)</f>
        <v>11340</v>
      </c>
      <c r="G154" s="696"/>
      <c r="H154" s="696">
        <f>INT(H150+H152+H153)</f>
        <v>44919</v>
      </c>
      <c r="I154" s="696"/>
      <c r="J154" s="696"/>
      <c r="K154" s="675">
        <f>INT(J154+H154+F154)</f>
        <v>56259</v>
      </c>
      <c r="L154" s="683"/>
    </row>
    <row r="155" spans="1:12" ht="30.95" customHeight="1">
      <c r="A155" s="694"/>
      <c r="B155" s="678"/>
      <c r="C155" s="699"/>
      <c r="D155" s="678"/>
      <c r="E155" s="696"/>
      <c r="F155" s="696"/>
      <c r="G155" s="696"/>
      <c r="H155" s="696"/>
      <c r="I155" s="696"/>
      <c r="J155" s="696"/>
      <c r="K155" s="696"/>
      <c r="L155" s="683"/>
    </row>
    <row r="156" spans="1:12" ht="30.95" customHeight="1">
      <c r="A156" s="694" t="s">
        <v>1914</v>
      </c>
      <c r="B156" s="678"/>
      <c r="C156" s="678"/>
      <c r="D156" s="678"/>
      <c r="E156" s="696"/>
      <c r="F156" s="696"/>
      <c r="G156" s="696"/>
      <c r="H156" s="696"/>
      <c r="I156" s="696"/>
      <c r="J156" s="696"/>
      <c r="K156" s="696"/>
      <c r="L156" s="683"/>
    </row>
    <row r="157" spans="1:12" ht="30.95" customHeight="1">
      <c r="A157" s="701" t="s">
        <v>1915</v>
      </c>
      <c r="B157" s="702" t="s">
        <v>1916</v>
      </c>
      <c r="C157" s="709">
        <v>13</v>
      </c>
      <c r="D157" s="702" t="s">
        <v>1865</v>
      </c>
      <c r="E157" s="704">
        <f ca="1">'018-ASNA-자재산출근거'!I9</f>
        <v>4200</v>
      </c>
      <c r="F157" s="710">
        <f>TRUNC(C157*E157,1)</f>
        <v>54600</v>
      </c>
      <c r="G157" s="704"/>
      <c r="H157" s="704"/>
      <c r="I157" s="704"/>
      <c r="J157" s="704"/>
      <c r="K157" s="704"/>
      <c r="L157" s="706"/>
    </row>
    <row r="158" spans="1:12" ht="30.95" customHeight="1">
      <c r="A158" s="694" t="s">
        <v>1917</v>
      </c>
      <c r="B158" s="678" t="s">
        <v>1918</v>
      </c>
      <c r="C158" s="685">
        <v>4</v>
      </c>
      <c r="D158" s="678" t="s">
        <v>1919</v>
      </c>
      <c r="E158" s="696">
        <f ca="1">'018-ASNA-자재산출근거'!I10</f>
        <v>943</v>
      </c>
      <c r="F158" s="684">
        <f>TRUNC(C158*E158,1)</f>
        <v>3772</v>
      </c>
      <c r="G158" s="696"/>
      <c r="H158" s="696"/>
      <c r="I158" s="696"/>
      <c r="J158" s="696"/>
      <c r="K158" s="696"/>
      <c r="L158" s="683"/>
    </row>
    <row r="159" spans="1:12" ht="30.95" customHeight="1" thickBot="1">
      <c r="A159" s="687" t="s">
        <v>1920</v>
      </c>
      <c r="B159" s="688" t="s">
        <v>1921</v>
      </c>
      <c r="C159" s="711">
        <v>1.1000000000000001</v>
      </c>
      <c r="D159" s="688" t="s">
        <v>1910</v>
      </c>
      <c r="E159" s="690">
        <f ca="1">'018-ASNA-자재산출근거'!I11</f>
        <v>600</v>
      </c>
      <c r="F159" s="691">
        <f>TRUNC(C159*E159,1)</f>
        <v>660</v>
      </c>
      <c r="G159" s="690"/>
      <c r="H159" s="690"/>
      <c r="I159" s="690"/>
      <c r="J159" s="690"/>
      <c r="K159" s="690"/>
      <c r="L159" s="692"/>
    </row>
    <row r="160" spans="1:12" ht="30.95" customHeight="1">
      <c r="A160" s="677" t="s">
        <v>1922</v>
      </c>
      <c r="B160" s="674" t="s">
        <v>1923</v>
      </c>
      <c r="C160" s="712">
        <v>0.76</v>
      </c>
      <c r="D160" s="674" t="s">
        <v>1880</v>
      </c>
      <c r="E160" s="713">
        <f ca="1">'021-ASNA-중기목록'!E4</f>
        <v>6884</v>
      </c>
      <c r="F160" s="714">
        <f ca="1">TRUNC(C160*E160,1)</f>
        <v>5231.8</v>
      </c>
      <c r="G160" s="675">
        <f ca="1">'021-ASNA-중기목록'!F4</f>
        <v>16611</v>
      </c>
      <c r="H160" s="714">
        <f ca="1">TRUNC(G160*C160,1)</f>
        <v>12624.3</v>
      </c>
      <c r="I160" s="675">
        <f ca="1">'021-ASNA-중기목록'!G4</f>
        <v>10362</v>
      </c>
      <c r="J160" s="714">
        <f>TRUNC(I160*C160,1)</f>
        <v>7875.1</v>
      </c>
      <c r="K160" s="675"/>
      <c r="L160" s="676"/>
    </row>
    <row r="161" spans="1:12" ht="30.95" customHeight="1">
      <c r="A161" s="694" t="s">
        <v>1913</v>
      </c>
      <c r="B161" s="678"/>
      <c r="C161" s="698">
        <v>0.08</v>
      </c>
      <c r="D161" s="678" t="s">
        <v>1888</v>
      </c>
      <c r="E161" s="696"/>
      <c r="F161" s="696"/>
      <c r="G161" s="696">
        <f ca="1">'019-ASNA-노무비산출근거'!B4</f>
        <v>84404</v>
      </c>
      <c r="H161" s="684">
        <f>TRUNC(G161*C161,1)</f>
        <v>6752.3</v>
      </c>
      <c r="I161" s="696"/>
      <c r="J161" s="696"/>
      <c r="K161" s="696"/>
      <c r="L161" s="683"/>
    </row>
    <row r="162" spans="1:12" ht="30.95" customHeight="1">
      <c r="A162" s="694" t="s">
        <v>1905</v>
      </c>
      <c r="B162" s="678"/>
      <c r="C162" s="698">
        <v>0.13</v>
      </c>
      <c r="D162" s="678" t="s">
        <v>1888</v>
      </c>
      <c r="E162" s="696"/>
      <c r="F162" s="696"/>
      <c r="G162" s="696">
        <f ca="1">'019-ASNA-노무비산출근거'!B5</f>
        <v>68965</v>
      </c>
      <c r="H162" s="684">
        <f>TRUNC(G162*C162,1)</f>
        <v>8965.4</v>
      </c>
      <c r="I162" s="696"/>
      <c r="J162" s="696"/>
      <c r="K162" s="696"/>
      <c r="L162" s="683"/>
    </row>
    <row r="163" spans="1:12" ht="30.95" customHeight="1">
      <c r="A163" s="694" t="s">
        <v>1906</v>
      </c>
      <c r="B163" s="678"/>
      <c r="C163" s="699"/>
      <c r="D163" s="678"/>
      <c r="E163" s="696"/>
      <c r="F163" s="696">
        <f>INT(F157+F158+F159+F160)</f>
        <v>64263</v>
      </c>
      <c r="G163" s="696"/>
      <c r="H163" s="696">
        <f>INT(H160+H161+H162)</f>
        <v>28342</v>
      </c>
      <c r="I163" s="696"/>
      <c r="J163" s="696">
        <f>INT(J160+J161)</f>
        <v>7875</v>
      </c>
      <c r="K163" s="696">
        <f>SUM(F163:J163)</f>
        <v>100480</v>
      </c>
      <c r="L163" s="683"/>
    </row>
    <row r="164" spans="1:12" ht="30.95" customHeight="1">
      <c r="A164" s="694"/>
      <c r="B164" s="678"/>
      <c r="C164" s="698"/>
      <c r="D164" s="678"/>
      <c r="E164" s="696"/>
      <c r="F164" s="696"/>
      <c r="G164" s="696"/>
      <c r="H164" s="696"/>
      <c r="I164" s="696"/>
      <c r="J164" s="696"/>
      <c r="K164" s="696"/>
      <c r="L164" s="683"/>
    </row>
    <row r="165" spans="1:12" ht="30.95" customHeight="1">
      <c r="A165" s="694" t="s">
        <v>1924</v>
      </c>
      <c r="B165" s="678"/>
      <c r="C165" s="698"/>
      <c r="D165" s="678"/>
      <c r="E165" s="696"/>
      <c r="F165" s="684"/>
      <c r="G165" s="696"/>
      <c r="H165" s="684"/>
      <c r="I165" s="696"/>
      <c r="J165" s="696"/>
      <c r="K165" s="696"/>
      <c r="L165" s="683"/>
    </row>
    <row r="166" spans="1:12" ht="30.95" customHeight="1">
      <c r="A166" s="694" t="s">
        <v>1872</v>
      </c>
      <c r="B166" s="678" t="s">
        <v>1892</v>
      </c>
      <c r="C166" s="697">
        <v>0.33</v>
      </c>
      <c r="D166" s="678" t="s">
        <v>1874</v>
      </c>
      <c r="E166" s="696">
        <f ca="1">'018-ASNA-자재산출근거'!I5</f>
        <v>90000</v>
      </c>
      <c r="F166" s="684">
        <f>TRUNC(C166*E166,1)</f>
        <v>29700</v>
      </c>
      <c r="G166" s="696"/>
      <c r="H166" s="696"/>
      <c r="I166" s="696"/>
      <c r="J166" s="696"/>
      <c r="K166" s="696"/>
      <c r="L166" s="683"/>
    </row>
    <row r="167" spans="1:12" ht="30.95" customHeight="1">
      <c r="A167" s="694" t="s">
        <v>1875</v>
      </c>
      <c r="B167" s="678" t="s">
        <v>1876</v>
      </c>
      <c r="C167" s="697">
        <v>0.25</v>
      </c>
      <c r="D167" s="678" t="s">
        <v>1877</v>
      </c>
      <c r="E167" s="696">
        <f ca="1">'018-ASNA-자재산출근거'!I6</f>
        <v>8000</v>
      </c>
      <c r="F167" s="684">
        <f>TRUNC(C167*E167,1)</f>
        <v>2000</v>
      </c>
      <c r="G167" s="696"/>
      <c r="H167" s="696"/>
      <c r="I167" s="696"/>
      <c r="J167" s="696"/>
      <c r="K167" s="696"/>
      <c r="L167" s="683"/>
    </row>
    <row r="168" spans="1:12" ht="30.95" customHeight="1">
      <c r="A168" s="694" t="s">
        <v>1878</v>
      </c>
      <c r="B168" s="678" t="s">
        <v>1879</v>
      </c>
      <c r="C168" s="697">
        <v>0.76</v>
      </c>
      <c r="D168" s="678" t="s">
        <v>1880</v>
      </c>
      <c r="E168" s="696">
        <f ca="1">'021-ASNA-중기목록'!E5</f>
        <v>4515</v>
      </c>
      <c r="F168" s="684">
        <f ca="1">TRUNC(C168*E168,1)</f>
        <v>3431.4</v>
      </c>
      <c r="G168" s="696">
        <f ca="1">'021-ASNA-중기목록'!F5</f>
        <v>14455</v>
      </c>
      <c r="H168" s="684">
        <f ca="1">TRUNC(G168*C168,1)</f>
        <v>10985.8</v>
      </c>
      <c r="I168" s="696">
        <f ca="1">'021-ASNA-중기목록'!G5</f>
        <v>5226</v>
      </c>
      <c r="J168" s="684">
        <f>TRUNC(I168*C168,1)</f>
        <v>3971.7</v>
      </c>
      <c r="K168" s="696"/>
      <c r="L168" s="683"/>
    </row>
    <row r="169" spans="1:12" ht="30.95" customHeight="1">
      <c r="A169" s="694" t="s">
        <v>1881</v>
      </c>
      <c r="B169" s="678" t="s">
        <v>1882</v>
      </c>
      <c r="C169" s="698">
        <v>0.76</v>
      </c>
      <c r="D169" s="678" t="s">
        <v>1880</v>
      </c>
      <c r="E169" s="696">
        <f ca="1">'021-ASNA-중기목록'!E6</f>
        <v>9917</v>
      </c>
      <c r="F169" s="684">
        <f ca="1">TRUNC(C169*E169,1)</f>
        <v>7536.9</v>
      </c>
      <c r="G169" s="696"/>
      <c r="H169" s="696"/>
      <c r="I169" s="696">
        <f ca="1">'021-ASNA-중기목록'!G6</f>
        <v>1051</v>
      </c>
      <c r="J169" s="684">
        <f>TRUNC(I169*C169,1)</f>
        <v>798.7</v>
      </c>
      <c r="K169" s="696"/>
      <c r="L169" s="683"/>
    </row>
    <row r="170" spans="1:12" ht="30.95" customHeight="1">
      <c r="A170" s="694" t="s">
        <v>1883</v>
      </c>
      <c r="B170" s="678" t="s">
        <v>1884</v>
      </c>
      <c r="C170" s="698">
        <v>0.76</v>
      </c>
      <c r="D170" s="678" t="s">
        <v>1880</v>
      </c>
      <c r="E170" s="696">
        <f ca="1">'021-ASNA-중기목록'!E7</f>
        <v>13600</v>
      </c>
      <c r="F170" s="684">
        <f ca="1">TRUNC(C170*E170,1)</f>
        <v>10336</v>
      </c>
      <c r="G170" s="696">
        <f ca="1">'021-ASNA-중기목록'!F7</f>
        <v>16611</v>
      </c>
      <c r="H170" s="684">
        <f ca="1">TRUNC(G170*C170,1)</f>
        <v>12624.3</v>
      </c>
      <c r="I170" s="696">
        <f ca="1">'021-ASNA-중기목록'!G7</f>
        <v>7823</v>
      </c>
      <c r="J170" s="684">
        <f>TRUNC(I170*C170,1)</f>
        <v>5945.4</v>
      </c>
      <c r="K170" s="696"/>
      <c r="L170" s="683"/>
    </row>
    <row r="171" spans="1:12" ht="30.95" customHeight="1">
      <c r="A171" s="694" t="s">
        <v>1885</v>
      </c>
      <c r="B171" s="678" t="s">
        <v>1896</v>
      </c>
      <c r="C171" s="698">
        <v>0.76</v>
      </c>
      <c r="D171" s="678" t="s">
        <v>1880</v>
      </c>
      <c r="E171" s="696"/>
      <c r="F171" s="684"/>
      <c r="G171" s="696"/>
      <c r="H171" s="696"/>
      <c r="I171" s="696">
        <f ca="1">'021-ASNA-중기목록'!G8</f>
        <v>2129</v>
      </c>
      <c r="J171" s="684">
        <f>TRUNC(I171*C171,1)</f>
        <v>1618</v>
      </c>
      <c r="K171" s="696"/>
      <c r="L171" s="683"/>
    </row>
    <row r="172" spans="1:12" ht="30.95" customHeight="1">
      <c r="A172" s="694" t="s">
        <v>1887</v>
      </c>
      <c r="B172" s="678"/>
      <c r="C172" s="685">
        <v>0.4</v>
      </c>
      <c r="D172" s="678" t="s">
        <v>1888</v>
      </c>
      <c r="E172" s="696"/>
      <c r="F172" s="684"/>
      <c r="G172" s="696">
        <f ca="1">'019-ASNA-노무비산출근거'!B4</f>
        <v>84404</v>
      </c>
      <c r="H172" s="684">
        <f>TRUNC(G172*C172,1)</f>
        <v>33761.599999999999</v>
      </c>
      <c r="I172" s="696"/>
      <c r="J172" s="696"/>
      <c r="K172" s="696"/>
      <c r="L172" s="683"/>
    </row>
    <row r="173" spans="1:12" ht="30.95" customHeight="1">
      <c r="A173" s="694" t="s">
        <v>1889</v>
      </c>
      <c r="B173" s="678"/>
      <c r="C173" s="685">
        <v>0.1</v>
      </c>
      <c r="D173" s="678" t="s">
        <v>1888</v>
      </c>
      <c r="E173" s="696"/>
      <c r="F173" s="684"/>
      <c r="G173" s="696">
        <f ca="1">'019-ASNA-노무비산출근거'!B6</f>
        <v>86521</v>
      </c>
      <c r="H173" s="684">
        <f>TRUNC(G173*C173,1)</f>
        <v>8652.1</v>
      </c>
      <c r="I173" s="696"/>
      <c r="J173" s="696"/>
      <c r="K173" s="696"/>
      <c r="L173" s="683"/>
    </row>
    <row r="174" spans="1:12" ht="30.95" customHeight="1">
      <c r="A174" s="694" t="s">
        <v>1890</v>
      </c>
      <c r="B174" s="678"/>
      <c r="C174" s="685">
        <v>0.6</v>
      </c>
      <c r="D174" s="678" t="s">
        <v>1888</v>
      </c>
      <c r="E174" s="696"/>
      <c r="F174" s="684"/>
      <c r="G174" s="696">
        <f ca="1">'019-ASNA-노무비산출근거'!B5</f>
        <v>68965</v>
      </c>
      <c r="H174" s="684">
        <f>TRUNC(G174*C174,1)</f>
        <v>41379</v>
      </c>
      <c r="I174" s="696"/>
      <c r="J174" s="696"/>
      <c r="K174" s="696"/>
      <c r="L174" s="683"/>
    </row>
    <row r="175" spans="1:12" ht="30.95" customHeight="1">
      <c r="A175" s="677" t="s">
        <v>1906</v>
      </c>
      <c r="B175" s="674"/>
      <c r="C175" s="715"/>
      <c r="D175" s="674"/>
      <c r="E175" s="675"/>
      <c r="F175" s="675">
        <f>INT(F166+F167+F168+F169+F170)</f>
        <v>53004</v>
      </c>
      <c r="G175" s="675"/>
      <c r="H175" s="675">
        <f>INT(H168+H170+H172+H173+H174)</f>
        <v>107402</v>
      </c>
      <c r="I175" s="675"/>
      <c r="J175" s="675">
        <f>INT(J168+J169+J170+J171)</f>
        <v>12333</v>
      </c>
      <c r="K175" s="696">
        <f>SUM(F175:J175)</f>
        <v>172739</v>
      </c>
      <c r="L175" s="676"/>
    </row>
    <row r="176" spans="1:12" ht="30.95" customHeight="1">
      <c r="A176" s="694" t="s">
        <v>1858</v>
      </c>
      <c r="B176" s="678"/>
      <c r="C176" s="679">
        <v>10</v>
      </c>
      <c r="D176" s="674" t="s">
        <v>1865</v>
      </c>
      <c r="E176" s="675"/>
      <c r="F176" s="680">
        <f>INT(F175+F163+F154+F147)</f>
        <v>144123</v>
      </c>
      <c r="G176" s="675"/>
      <c r="H176" s="680">
        <f>INT(H175+H163+H154+H147)</f>
        <v>264444</v>
      </c>
      <c r="I176" s="675"/>
      <c r="J176" s="680">
        <f>INT(J175+J163+J154+J147)</f>
        <v>24485</v>
      </c>
      <c r="K176" s="696">
        <f>SUM(F176:J176)</f>
        <v>433052</v>
      </c>
      <c r="L176" s="683"/>
    </row>
    <row r="177" spans="1:12" ht="30.95" customHeight="1">
      <c r="A177" s="677"/>
      <c r="B177" s="678"/>
      <c r="C177" s="700"/>
      <c r="D177" s="674"/>
      <c r="E177" s="675"/>
      <c r="F177" s="680"/>
      <c r="G177" s="696"/>
      <c r="H177" s="675"/>
      <c r="I177" s="696"/>
      <c r="J177" s="675"/>
      <c r="K177" s="675"/>
      <c r="L177" s="683"/>
    </row>
    <row r="178" spans="1:12" ht="30.95" customHeight="1" thickBot="1">
      <c r="A178" s="687"/>
      <c r="B178" s="688"/>
      <c r="C178" s="716"/>
      <c r="D178" s="688"/>
      <c r="E178" s="690"/>
      <c r="F178" s="717"/>
      <c r="G178" s="690"/>
      <c r="H178" s="717"/>
      <c r="I178" s="717"/>
      <c r="J178" s="717"/>
      <c r="K178" s="690"/>
      <c r="L178" s="692"/>
    </row>
    <row r="179" spans="1:12" ht="30.95" customHeight="1">
      <c r="A179" s="816" t="s">
        <v>1925</v>
      </c>
      <c r="B179" s="817"/>
      <c r="C179" s="674"/>
      <c r="D179" s="674"/>
      <c r="E179" s="675"/>
      <c r="F179" s="675"/>
      <c r="G179" s="675"/>
      <c r="H179" s="675"/>
      <c r="I179" s="675"/>
      <c r="J179" s="675"/>
      <c r="K179" s="675"/>
      <c r="L179" s="676"/>
    </row>
    <row r="180" spans="1:12" ht="30.95" customHeight="1">
      <c r="A180" s="707" t="s">
        <v>1926</v>
      </c>
      <c r="B180" s="678"/>
      <c r="C180" s="697"/>
      <c r="D180" s="678"/>
      <c r="E180" s="696"/>
      <c r="F180" s="684"/>
      <c r="G180" s="696"/>
      <c r="H180" s="696"/>
      <c r="I180" s="696"/>
      <c r="J180" s="696"/>
      <c r="K180" s="696"/>
      <c r="L180" s="683"/>
    </row>
    <row r="181" spans="1:12" ht="30.95" customHeight="1">
      <c r="A181" s="694" t="s">
        <v>1899</v>
      </c>
      <c r="B181" s="678" t="s">
        <v>1900</v>
      </c>
      <c r="C181" s="697">
        <v>1.1399999999999999</v>
      </c>
      <c r="D181" s="678" t="s">
        <v>1880</v>
      </c>
      <c r="E181" s="708">
        <f ca="1">'021-ASNA-중기목록'!E3</f>
        <v>12135</v>
      </c>
      <c r="F181" s="684">
        <f ca="1">TRUNC(C181*E181,1)</f>
        <v>13833.9</v>
      </c>
      <c r="G181" s="696">
        <f ca="1">'021-ASNA-중기목록'!F3</f>
        <v>14455</v>
      </c>
      <c r="H181" s="684">
        <f ca="1">TRUNC(G181*C181,1)</f>
        <v>16478.7</v>
      </c>
      <c r="I181" s="696">
        <f ca="1">'021-ASNA-중기목록'!G3</f>
        <v>3752</v>
      </c>
      <c r="J181" s="684">
        <f>TRUNC(I181*C181,1)</f>
        <v>4277.2</v>
      </c>
      <c r="K181" s="696"/>
      <c r="L181" s="683"/>
    </row>
    <row r="182" spans="1:12" ht="30.95" customHeight="1">
      <c r="A182" s="694" t="s">
        <v>1901</v>
      </c>
      <c r="B182" s="678" t="s">
        <v>1902</v>
      </c>
      <c r="C182" s="682">
        <v>1</v>
      </c>
      <c r="D182" s="678" t="s">
        <v>1903</v>
      </c>
      <c r="E182" s="696"/>
      <c r="F182" s="684">
        <f>ROUNDDOWN((H183+H184)*0.025,1)</f>
        <v>1682.5</v>
      </c>
      <c r="G182" s="696"/>
      <c r="H182" s="684"/>
      <c r="I182" s="696"/>
      <c r="J182" s="684"/>
      <c r="K182" s="696"/>
      <c r="L182" s="683"/>
    </row>
    <row r="183" spans="1:12" ht="30.95" customHeight="1">
      <c r="A183" s="694" t="s">
        <v>1904</v>
      </c>
      <c r="B183" s="678"/>
      <c r="C183" s="698">
        <v>0.43</v>
      </c>
      <c r="D183" s="678" t="s">
        <v>1888</v>
      </c>
      <c r="E183" s="696"/>
      <c r="F183" s="684"/>
      <c r="G183" s="696">
        <f ca="1">'019-ASNA-노무비산출근거'!B7</f>
        <v>79533</v>
      </c>
      <c r="H183" s="684">
        <f>TRUNC(G183*C183,1)</f>
        <v>34199.1</v>
      </c>
      <c r="I183" s="696"/>
      <c r="J183" s="684"/>
      <c r="K183" s="696"/>
      <c r="L183" s="683"/>
    </row>
    <row r="184" spans="1:12" ht="30.95" customHeight="1">
      <c r="A184" s="694" t="s">
        <v>1905</v>
      </c>
      <c r="B184" s="678"/>
      <c r="C184" s="698">
        <v>0.48</v>
      </c>
      <c r="D184" s="678" t="s">
        <v>1888</v>
      </c>
      <c r="E184" s="696"/>
      <c r="F184" s="684"/>
      <c r="G184" s="696">
        <f ca="1">'019-ASNA-노무비산출근거'!B5</f>
        <v>68965</v>
      </c>
      <c r="H184" s="684">
        <f>TRUNC(G184*C184,1)</f>
        <v>33103.199999999997</v>
      </c>
      <c r="I184" s="696"/>
      <c r="J184" s="684"/>
      <c r="K184" s="696"/>
      <c r="L184" s="683"/>
    </row>
    <row r="185" spans="1:12" ht="30.95" customHeight="1">
      <c r="A185" s="694" t="s">
        <v>1906</v>
      </c>
      <c r="B185" s="678"/>
      <c r="C185" s="698"/>
      <c r="D185" s="678"/>
      <c r="E185" s="696"/>
      <c r="F185" s="696">
        <f>INT(F181+F182)</f>
        <v>15516</v>
      </c>
      <c r="G185" s="696"/>
      <c r="H185" s="696">
        <f>INT(H181+H183+H184)</f>
        <v>83781</v>
      </c>
      <c r="I185" s="696"/>
      <c r="J185" s="696">
        <f>INT(J181+J182)</f>
        <v>4277</v>
      </c>
      <c r="K185" s="696">
        <f>INT(J185+H185+F185)</f>
        <v>103574</v>
      </c>
      <c r="L185" s="683"/>
    </row>
    <row r="186" spans="1:12" ht="30.95" customHeight="1">
      <c r="A186" s="694"/>
      <c r="B186" s="678"/>
      <c r="C186" s="698"/>
      <c r="D186" s="678"/>
      <c r="E186" s="696"/>
      <c r="F186" s="684"/>
      <c r="G186" s="696"/>
      <c r="H186" s="684"/>
      <c r="I186" s="696"/>
      <c r="J186" s="696"/>
      <c r="K186" s="696"/>
      <c r="L186" s="683"/>
    </row>
    <row r="187" spans="1:12" ht="30.95" customHeight="1">
      <c r="A187" s="707" t="s">
        <v>1907</v>
      </c>
      <c r="B187" s="678"/>
      <c r="C187" s="698"/>
      <c r="D187" s="678"/>
      <c r="E187" s="696"/>
      <c r="F187" s="684"/>
      <c r="G187" s="696"/>
      <c r="H187" s="684"/>
      <c r="I187" s="696"/>
      <c r="J187" s="696"/>
      <c r="K187" s="696"/>
      <c r="L187" s="683"/>
    </row>
    <row r="188" spans="1:12" ht="30.95" customHeight="1">
      <c r="A188" s="694" t="s">
        <v>1908</v>
      </c>
      <c r="B188" s="678" t="s">
        <v>1909</v>
      </c>
      <c r="C188" s="685">
        <v>1.2</v>
      </c>
      <c r="D188" s="678" t="s">
        <v>1910</v>
      </c>
      <c r="E188" s="696">
        <f ca="1">'018-ASNA-자재산출근거'!I7</f>
        <v>1200</v>
      </c>
      <c r="F188" s="684">
        <f>TRUNC(C188*E188,1)</f>
        <v>1440</v>
      </c>
      <c r="G188" s="696"/>
      <c r="H188" s="684"/>
      <c r="I188" s="696"/>
      <c r="J188" s="696"/>
      <c r="K188" s="696"/>
      <c r="L188" s="683"/>
    </row>
    <row r="189" spans="1:12" ht="30.95" customHeight="1">
      <c r="A189" s="694" t="s">
        <v>1911</v>
      </c>
      <c r="B189" s="678" t="s">
        <v>1912</v>
      </c>
      <c r="C189" s="685">
        <v>11</v>
      </c>
      <c r="D189" s="678" t="s">
        <v>1910</v>
      </c>
      <c r="E189" s="696">
        <f ca="1">'018-ASNA-자재산출근거'!I8</f>
        <v>900</v>
      </c>
      <c r="F189" s="684">
        <f>TRUNC(C189*E189,1)</f>
        <v>9900</v>
      </c>
      <c r="G189" s="696"/>
      <c r="H189" s="684"/>
      <c r="I189" s="696"/>
      <c r="J189" s="696"/>
      <c r="K189" s="696"/>
      <c r="L189" s="683"/>
    </row>
    <row r="190" spans="1:12" ht="30.95" customHeight="1">
      <c r="A190" s="694" t="s">
        <v>1913</v>
      </c>
      <c r="B190" s="678"/>
      <c r="C190" s="698">
        <v>0.14000000000000001</v>
      </c>
      <c r="D190" s="678" t="s">
        <v>1888</v>
      </c>
      <c r="E190" s="696"/>
      <c r="F190" s="696"/>
      <c r="G190" s="696">
        <f ca="1">'019-ASNA-노무비산출근거'!B4</f>
        <v>84404</v>
      </c>
      <c r="H190" s="684">
        <f>TRUNC(G190*C190,1)</f>
        <v>11816.5</v>
      </c>
      <c r="I190" s="696"/>
      <c r="J190" s="696"/>
      <c r="K190" s="696"/>
      <c r="L190" s="683"/>
    </row>
    <row r="191" spans="1:12" ht="30.95" customHeight="1">
      <c r="A191" s="694" t="s">
        <v>1905</v>
      </c>
      <c r="B191" s="678"/>
      <c r="C191" s="698">
        <v>0.48</v>
      </c>
      <c r="D191" s="678" t="s">
        <v>1888</v>
      </c>
      <c r="E191" s="696"/>
      <c r="F191" s="696"/>
      <c r="G191" s="696">
        <f ca="1">'019-ASNA-노무비산출근거'!B5</f>
        <v>68965</v>
      </c>
      <c r="H191" s="684">
        <f>TRUNC(G191*C191,1)</f>
        <v>33103.199999999997</v>
      </c>
      <c r="I191" s="696"/>
      <c r="J191" s="696"/>
      <c r="K191" s="696"/>
      <c r="L191" s="683"/>
    </row>
    <row r="192" spans="1:12" ht="30.95" customHeight="1">
      <c r="A192" s="694" t="s">
        <v>1906</v>
      </c>
      <c r="B192" s="678"/>
      <c r="C192" s="699"/>
      <c r="D192" s="678"/>
      <c r="E192" s="696"/>
      <c r="F192" s="696">
        <f>INT(F188+F189)</f>
        <v>11340</v>
      </c>
      <c r="G192" s="696"/>
      <c r="H192" s="696">
        <f>INT(H188+H190+H191)</f>
        <v>44919</v>
      </c>
      <c r="I192" s="696"/>
      <c r="J192" s="696"/>
      <c r="K192" s="696">
        <f>INT(J192+H192+F192)</f>
        <v>56259</v>
      </c>
      <c r="L192" s="683"/>
    </row>
    <row r="193" spans="1:12" ht="30.95" customHeight="1">
      <c r="A193" s="694"/>
      <c r="B193" s="678"/>
      <c r="C193" s="699"/>
      <c r="D193" s="678"/>
      <c r="E193" s="696"/>
      <c r="F193" s="696"/>
      <c r="G193" s="696"/>
      <c r="H193" s="696"/>
      <c r="I193" s="696"/>
      <c r="J193" s="696"/>
      <c r="K193" s="696"/>
      <c r="L193" s="683"/>
    </row>
    <row r="194" spans="1:12" ht="30.95" customHeight="1">
      <c r="A194" s="694" t="s">
        <v>1927</v>
      </c>
      <c r="B194" s="678"/>
      <c r="C194" s="678"/>
      <c r="D194" s="678"/>
      <c r="E194" s="696"/>
      <c r="F194" s="696"/>
      <c r="G194" s="696"/>
      <c r="H194" s="696"/>
      <c r="I194" s="696"/>
      <c r="J194" s="696"/>
      <c r="K194" s="696"/>
      <c r="L194" s="683"/>
    </row>
    <row r="195" spans="1:12" ht="30.95" customHeight="1">
      <c r="A195" s="701" t="s">
        <v>1915</v>
      </c>
      <c r="B195" s="702" t="s">
        <v>1916</v>
      </c>
      <c r="C195" s="709">
        <v>13</v>
      </c>
      <c r="D195" s="702" t="s">
        <v>1865</v>
      </c>
      <c r="E195" s="704">
        <f ca="1">'018-ASNA-자재산출근거'!I9</f>
        <v>4200</v>
      </c>
      <c r="F195" s="710">
        <f>TRUNC(C195*E195,1)</f>
        <v>54600</v>
      </c>
      <c r="G195" s="704"/>
      <c r="H195" s="704"/>
      <c r="I195" s="704"/>
      <c r="J195" s="704"/>
      <c r="K195" s="704"/>
      <c r="L195" s="706"/>
    </row>
    <row r="196" spans="1:12" ht="30.95" customHeight="1">
      <c r="A196" s="694" t="s">
        <v>1917</v>
      </c>
      <c r="B196" s="678" t="s">
        <v>1918</v>
      </c>
      <c r="C196" s="685">
        <v>4</v>
      </c>
      <c r="D196" s="678" t="s">
        <v>1919</v>
      </c>
      <c r="E196" s="696">
        <f ca="1">'018-ASNA-자재산출근거'!I10</f>
        <v>943</v>
      </c>
      <c r="F196" s="684">
        <f>TRUNC(C196*E196,1)</f>
        <v>3772</v>
      </c>
      <c r="G196" s="696"/>
      <c r="H196" s="696"/>
      <c r="I196" s="696"/>
      <c r="J196" s="696"/>
      <c r="K196" s="696"/>
      <c r="L196" s="683"/>
    </row>
    <row r="197" spans="1:12" ht="30.95" customHeight="1" thickBot="1">
      <c r="A197" s="687" t="s">
        <v>1920</v>
      </c>
      <c r="B197" s="688" t="s">
        <v>1921</v>
      </c>
      <c r="C197" s="711">
        <v>1.1000000000000001</v>
      </c>
      <c r="D197" s="688" t="s">
        <v>1910</v>
      </c>
      <c r="E197" s="690">
        <f ca="1">'018-ASNA-자재산출근거'!I11</f>
        <v>600</v>
      </c>
      <c r="F197" s="691">
        <f>TRUNC(C197*E197,1)</f>
        <v>660</v>
      </c>
      <c r="G197" s="690"/>
      <c r="H197" s="690"/>
      <c r="I197" s="690"/>
      <c r="J197" s="690"/>
      <c r="K197" s="690"/>
      <c r="L197" s="692"/>
    </row>
    <row r="198" spans="1:12" ht="30.95" customHeight="1">
      <c r="A198" s="677" t="s">
        <v>1922</v>
      </c>
      <c r="B198" s="674" t="s">
        <v>1923</v>
      </c>
      <c r="C198" s="712">
        <v>0.76</v>
      </c>
      <c r="D198" s="674" t="s">
        <v>1880</v>
      </c>
      <c r="E198" s="713">
        <f ca="1">'021-ASNA-중기목록'!E4</f>
        <v>6884</v>
      </c>
      <c r="F198" s="714">
        <f ca="1">TRUNC(C198*E198,1)</f>
        <v>5231.8</v>
      </c>
      <c r="G198" s="675">
        <f ca="1">'021-ASNA-중기목록'!F4</f>
        <v>16611</v>
      </c>
      <c r="H198" s="714">
        <f ca="1">TRUNC(G198*C198,1)</f>
        <v>12624.3</v>
      </c>
      <c r="I198" s="675">
        <f ca="1">'021-ASNA-중기목록'!G4</f>
        <v>10362</v>
      </c>
      <c r="J198" s="714">
        <f>TRUNC(I198*C198,1)</f>
        <v>7875.1</v>
      </c>
      <c r="K198" s="675"/>
      <c r="L198" s="676"/>
    </row>
    <row r="199" spans="1:12" ht="30.95" customHeight="1">
      <c r="A199" s="694" t="s">
        <v>1913</v>
      </c>
      <c r="B199" s="678"/>
      <c r="C199" s="698">
        <v>0.08</v>
      </c>
      <c r="D199" s="678" t="s">
        <v>1888</v>
      </c>
      <c r="E199" s="696"/>
      <c r="F199" s="696"/>
      <c r="G199" s="696">
        <f ca="1">'019-ASNA-노무비산출근거'!B4</f>
        <v>84404</v>
      </c>
      <c r="H199" s="684">
        <f>TRUNC(G199*C199,1)</f>
        <v>6752.3</v>
      </c>
      <c r="I199" s="696"/>
      <c r="J199" s="696"/>
      <c r="K199" s="696"/>
      <c r="L199" s="683"/>
    </row>
    <row r="200" spans="1:12" ht="30.95" customHeight="1">
      <c r="A200" s="694" t="s">
        <v>1905</v>
      </c>
      <c r="B200" s="678"/>
      <c r="C200" s="698">
        <v>0.13</v>
      </c>
      <c r="D200" s="678" t="s">
        <v>1888</v>
      </c>
      <c r="E200" s="696"/>
      <c r="F200" s="696"/>
      <c r="G200" s="696">
        <f ca="1">'019-ASNA-노무비산출근거'!B5</f>
        <v>68965</v>
      </c>
      <c r="H200" s="684">
        <f>TRUNC(G200*C200,1)</f>
        <v>8965.4</v>
      </c>
      <c r="I200" s="696"/>
      <c r="J200" s="696"/>
      <c r="K200" s="696"/>
      <c r="L200" s="683"/>
    </row>
    <row r="201" spans="1:12" ht="30.95" customHeight="1">
      <c r="A201" s="694" t="s">
        <v>1906</v>
      </c>
      <c r="B201" s="678"/>
      <c r="C201" s="699"/>
      <c r="D201" s="678"/>
      <c r="E201" s="696"/>
      <c r="F201" s="696">
        <f>INT(F195+F196+F197+F198)</f>
        <v>64263</v>
      </c>
      <c r="G201" s="696"/>
      <c r="H201" s="696">
        <f>INT(H198+H199+H200)</f>
        <v>28342</v>
      </c>
      <c r="I201" s="696"/>
      <c r="J201" s="696">
        <f>INT(J198+J199)</f>
        <v>7875</v>
      </c>
      <c r="K201" s="696">
        <f>INT(J201+H201+F201)</f>
        <v>100480</v>
      </c>
      <c r="L201" s="683"/>
    </row>
    <row r="202" spans="1:12" ht="30.95" customHeight="1">
      <c r="A202" s="694"/>
      <c r="B202" s="678"/>
      <c r="C202" s="698"/>
      <c r="D202" s="678"/>
      <c r="E202" s="696"/>
      <c r="F202" s="696"/>
      <c r="G202" s="696"/>
      <c r="H202" s="696"/>
      <c r="I202" s="696"/>
      <c r="J202" s="696"/>
      <c r="K202" s="696"/>
      <c r="L202" s="683"/>
    </row>
    <row r="203" spans="1:12" ht="30.95" customHeight="1">
      <c r="A203" s="694" t="s">
        <v>1928</v>
      </c>
      <c r="B203" s="678"/>
      <c r="C203" s="698"/>
      <c r="D203" s="678"/>
      <c r="E203" s="696"/>
      <c r="F203" s="684"/>
      <c r="G203" s="696"/>
      <c r="H203" s="684"/>
      <c r="I203" s="696"/>
      <c r="J203" s="696"/>
      <c r="K203" s="696"/>
      <c r="L203" s="683"/>
    </row>
    <row r="204" spans="1:12" ht="30.95" customHeight="1">
      <c r="A204" s="694" t="s">
        <v>1872</v>
      </c>
      <c r="B204" s="678" t="s">
        <v>1892</v>
      </c>
      <c r="C204" s="697">
        <v>0.55000000000000004</v>
      </c>
      <c r="D204" s="678" t="s">
        <v>1874</v>
      </c>
      <c r="E204" s="696">
        <f ca="1">'018-ASNA-자재산출근거'!I5</f>
        <v>90000</v>
      </c>
      <c r="F204" s="684">
        <f>TRUNC(C204*E204,1)</f>
        <v>49500</v>
      </c>
      <c r="G204" s="696"/>
      <c r="H204" s="696"/>
      <c r="I204" s="696"/>
      <c r="J204" s="696"/>
      <c r="K204" s="696"/>
      <c r="L204" s="683"/>
    </row>
    <row r="205" spans="1:12" ht="30.95" customHeight="1">
      <c r="A205" s="694" t="s">
        <v>1875</v>
      </c>
      <c r="B205" s="678" t="s">
        <v>1876</v>
      </c>
      <c r="C205" s="697">
        <v>0.25</v>
      </c>
      <c r="D205" s="678" t="s">
        <v>1877</v>
      </c>
      <c r="E205" s="696">
        <f ca="1">'018-ASNA-자재산출근거'!I6</f>
        <v>8000</v>
      </c>
      <c r="F205" s="684">
        <f>TRUNC(C205*E205,1)</f>
        <v>2000</v>
      </c>
      <c r="G205" s="696"/>
      <c r="H205" s="696"/>
      <c r="I205" s="696"/>
      <c r="J205" s="696"/>
      <c r="K205" s="696"/>
      <c r="L205" s="683"/>
    </row>
    <row r="206" spans="1:12" ht="30.95" customHeight="1">
      <c r="A206" s="694" t="s">
        <v>1878</v>
      </c>
      <c r="B206" s="678" t="s">
        <v>1879</v>
      </c>
      <c r="C206" s="697">
        <v>1.2</v>
      </c>
      <c r="D206" s="678" t="s">
        <v>1880</v>
      </c>
      <c r="E206" s="696">
        <f ca="1">'021-ASNA-중기목록'!E5</f>
        <v>4515</v>
      </c>
      <c r="F206" s="684">
        <f ca="1">TRUNC(C206*E206,1)</f>
        <v>5418</v>
      </c>
      <c r="G206" s="696">
        <f ca="1">'021-ASNA-중기목록'!F5</f>
        <v>14455</v>
      </c>
      <c r="H206" s="684">
        <f ca="1">TRUNC(G206*C206,1)</f>
        <v>17346</v>
      </c>
      <c r="I206" s="696">
        <f ca="1">'021-ASNA-중기목록'!G5</f>
        <v>5226</v>
      </c>
      <c r="J206" s="684">
        <f>TRUNC(I206*C206,1)</f>
        <v>6271.2</v>
      </c>
      <c r="K206" s="696"/>
      <c r="L206" s="683"/>
    </row>
    <row r="207" spans="1:12" ht="30.95" customHeight="1">
      <c r="A207" s="694" t="s">
        <v>1881</v>
      </c>
      <c r="B207" s="678" t="s">
        <v>1882</v>
      </c>
      <c r="C207" s="698">
        <v>1.2</v>
      </c>
      <c r="D207" s="678" t="s">
        <v>1880</v>
      </c>
      <c r="E207" s="696">
        <f ca="1">'021-ASNA-중기목록'!E6</f>
        <v>9917</v>
      </c>
      <c r="F207" s="684">
        <f ca="1">TRUNC(C207*E207,1)</f>
        <v>11900.4</v>
      </c>
      <c r="G207" s="696"/>
      <c r="H207" s="696"/>
      <c r="I207" s="696">
        <f ca="1">'021-ASNA-중기목록'!G6</f>
        <v>1051</v>
      </c>
      <c r="J207" s="684">
        <f>TRUNC(I207*C207,1)</f>
        <v>1261.2</v>
      </c>
      <c r="K207" s="696"/>
      <c r="L207" s="683"/>
    </row>
    <row r="208" spans="1:12" ht="30.95" customHeight="1">
      <c r="A208" s="694" t="s">
        <v>1883</v>
      </c>
      <c r="B208" s="678" t="s">
        <v>1884</v>
      </c>
      <c r="C208" s="698">
        <v>1.2</v>
      </c>
      <c r="D208" s="678" t="s">
        <v>1880</v>
      </c>
      <c r="E208" s="696">
        <f ca="1">'021-ASNA-중기목록'!E7</f>
        <v>13600</v>
      </c>
      <c r="F208" s="684">
        <f ca="1">TRUNC(C208*E208,1)</f>
        <v>16320</v>
      </c>
      <c r="G208" s="696">
        <f ca="1">'021-ASNA-중기목록'!F7</f>
        <v>16611</v>
      </c>
      <c r="H208" s="684">
        <f ca="1">TRUNC(G208*C208,1)</f>
        <v>19933.2</v>
      </c>
      <c r="I208" s="696">
        <f ca="1">'021-ASNA-중기목록'!G7</f>
        <v>7823</v>
      </c>
      <c r="J208" s="684">
        <f>TRUNC(I208*C208,1)</f>
        <v>9387.6</v>
      </c>
      <c r="K208" s="696"/>
      <c r="L208" s="683"/>
    </row>
    <row r="209" spans="1:12" ht="30.95" customHeight="1">
      <c r="A209" s="694" t="s">
        <v>1885</v>
      </c>
      <c r="B209" s="678" t="s">
        <v>1896</v>
      </c>
      <c r="C209" s="698">
        <v>1.2</v>
      </c>
      <c r="D209" s="678" t="s">
        <v>1880</v>
      </c>
      <c r="E209" s="696"/>
      <c r="F209" s="684"/>
      <c r="G209" s="696"/>
      <c r="H209" s="696"/>
      <c r="I209" s="696">
        <f ca="1">'021-ASNA-중기목록'!G8</f>
        <v>2129</v>
      </c>
      <c r="J209" s="684">
        <f>TRUNC(I209*C209,1)</f>
        <v>2554.8000000000002</v>
      </c>
      <c r="K209" s="696"/>
      <c r="L209" s="683"/>
    </row>
    <row r="210" spans="1:12" ht="30.95" customHeight="1">
      <c r="A210" s="694" t="s">
        <v>1887</v>
      </c>
      <c r="B210" s="678"/>
      <c r="C210" s="698">
        <v>0.67</v>
      </c>
      <c r="D210" s="678" t="s">
        <v>1888</v>
      </c>
      <c r="E210" s="696"/>
      <c r="F210" s="684"/>
      <c r="G210" s="696">
        <f ca="1">'019-ASNA-노무비산출근거'!B4</f>
        <v>84404</v>
      </c>
      <c r="H210" s="684">
        <f>TRUNC(G210*C210,1)</f>
        <v>56550.6</v>
      </c>
      <c r="I210" s="696"/>
      <c r="J210" s="696"/>
      <c r="K210" s="696"/>
      <c r="L210" s="683"/>
    </row>
    <row r="211" spans="1:12" ht="30.95" customHeight="1">
      <c r="A211" s="694" t="s">
        <v>1889</v>
      </c>
      <c r="B211" s="678"/>
      <c r="C211" s="698">
        <v>0.16</v>
      </c>
      <c r="D211" s="678" t="s">
        <v>1888</v>
      </c>
      <c r="E211" s="696"/>
      <c r="F211" s="684"/>
      <c r="G211" s="696">
        <f ca="1">'019-ASNA-노무비산출근거'!B6</f>
        <v>86521</v>
      </c>
      <c r="H211" s="684">
        <f>TRUNC(G211*C211,1)</f>
        <v>13843.3</v>
      </c>
      <c r="I211" s="696"/>
      <c r="J211" s="696"/>
      <c r="K211" s="696"/>
      <c r="L211" s="683"/>
    </row>
    <row r="212" spans="1:12" ht="30.95" customHeight="1">
      <c r="A212" s="694" t="s">
        <v>1890</v>
      </c>
      <c r="B212" s="678"/>
      <c r="C212" s="698">
        <v>0.83</v>
      </c>
      <c r="D212" s="678" t="s">
        <v>1888</v>
      </c>
      <c r="E212" s="696"/>
      <c r="F212" s="684"/>
      <c r="G212" s="696">
        <f ca="1">'019-ASNA-노무비산출근거'!B5</f>
        <v>68965</v>
      </c>
      <c r="H212" s="684">
        <f>TRUNC(G212*C212,1)</f>
        <v>57240.9</v>
      </c>
      <c r="I212" s="696"/>
      <c r="J212" s="696"/>
      <c r="K212" s="696"/>
      <c r="L212" s="683"/>
    </row>
    <row r="213" spans="1:12" ht="30.95" customHeight="1">
      <c r="A213" s="677" t="s">
        <v>1906</v>
      </c>
      <c r="B213" s="674"/>
      <c r="C213" s="715"/>
      <c r="D213" s="674"/>
      <c r="E213" s="675"/>
      <c r="F213" s="675">
        <f>INT(F204+F205+F206+F207+F208)</f>
        <v>85138</v>
      </c>
      <c r="G213" s="675"/>
      <c r="H213" s="675">
        <f>INT(H206+H208+H210+H211+H212)</f>
        <v>164914</v>
      </c>
      <c r="I213" s="675"/>
      <c r="J213" s="675">
        <f>INT(J206+J207+J208+J209)</f>
        <v>19474</v>
      </c>
      <c r="K213" s="696">
        <f>INT(J213+H213+F213)</f>
        <v>269526</v>
      </c>
      <c r="L213" s="676"/>
    </row>
    <row r="214" spans="1:12" ht="30.95" customHeight="1">
      <c r="A214" s="694" t="s">
        <v>1858</v>
      </c>
      <c r="B214" s="678"/>
      <c r="C214" s="679">
        <v>10</v>
      </c>
      <c r="D214" s="674" t="s">
        <v>1865</v>
      </c>
      <c r="E214" s="675"/>
      <c r="F214" s="680">
        <f>F213+F201+F192+F185</f>
        <v>176257</v>
      </c>
      <c r="G214" s="675"/>
      <c r="H214" s="675">
        <f>H213+H201+H192+H185</f>
        <v>321956</v>
      </c>
      <c r="I214" s="675"/>
      <c r="J214" s="675">
        <f>J213+J201+J185</f>
        <v>31626</v>
      </c>
      <c r="K214" s="696">
        <f>INT(J214+H214+F214)</f>
        <v>529839</v>
      </c>
      <c r="L214" s="683"/>
    </row>
    <row r="215" spans="1:12" ht="30.95" customHeight="1">
      <c r="A215" s="677"/>
      <c r="B215" s="678"/>
      <c r="C215" s="700"/>
      <c r="D215" s="674"/>
      <c r="E215" s="675"/>
      <c r="F215" s="680"/>
      <c r="G215" s="696"/>
      <c r="H215" s="675"/>
      <c r="I215" s="696"/>
      <c r="J215" s="675"/>
      <c r="K215" s="675"/>
      <c r="L215" s="683"/>
    </row>
    <row r="216" spans="1:12" ht="30.95" customHeight="1" thickBot="1">
      <c r="A216" s="687"/>
      <c r="B216" s="688"/>
      <c r="C216" s="716"/>
      <c r="D216" s="688"/>
      <c r="E216" s="690"/>
      <c r="F216" s="717"/>
      <c r="G216" s="690"/>
      <c r="H216" s="717"/>
      <c r="I216" s="717"/>
      <c r="J216" s="717"/>
      <c r="K216" s="690"/>
      <c r="L216" s="692"/>
    </row>
    <row r="217" spans="1:12">
      <c r="A217" s="961"/>
      <c r="B217" s="961"/>
      <c r="C217" s="961"/>
      <c r="D217" s="961"/>
      <c r="E217" s="961"/>
      <c r="F217" s="961"/>
      <c r="G217" s="961"/>
      <c r="H217" s="961"/>
      <c r="I217" s="961"/>
      <c r="J217" s="961"/>
      <c r="K217" s="961"/>
      <c r="L217" s="961"/>
    </row>
    <row r="218" spans="1:12">
      <c r="A218" s="671"/>
      <c r="B218" s="671"/>
      <c r="C218" s="671"/>
      <c r="D218" s="671"/>
      <c r="E218" s="671"/>
      <c r="F218" s="671"/>
      <c r="G218" s="671"/>
      <c r="H218" s="671"/>
      <c r="I218" s="671"/>
      <c r="J218" s="671"/>
      <c r="K218" s="671"/>
      <c r="L218" s="671"/>
    </row>
    <row r="219" spans="1:12">
      <c r="A219" s="671"/>
      <c r="B219" s="671"/>
      <c r="C219" s="671"/>
      <c r="D219" s="671"/>
      <c r="E219" s="671"/>
      <c r="F219" s="671"/>
      <c r="G219" s="671"/>
      <c r="H219" s="671"/>
      <c r="I219" s="671"/>
      <c r="J219" s="671"/>
      <c r="K219" s="671"/>
      <c r="L219" s="671"/>
    </row>
    <row r="220" spans="1:12">
      <c r="A220" s="671"/>
      <c r="B220" s="671"/>
      <c r="C220" s="671"/>
      <c r="D220" s="671"/>
      <c r="E220" s="671"/>
      <c r="F220" s="671"/>
      <c r="G220" s="671"/>
      <c r="H220" s="671"/>
      <c r="I220" s="671"/>
      <c r="J220" s="671"/>
      <c r="K220" s="671"/>
      <c r="L220" s="671"/>
    </row>
    <row r="221" spans="1:12">
      <c r="A221" s="671"/>
      <c r="B221" s="671"/>
      <c r="C221" s="671"/>
      <c r="D221" s="671"/>
      <c r="E221" s="671"/>
      <c r="F221" s="671"/>
      <c r="G221" s="671"/>
      <c r="H221" s="671"/>
      <c r="I221" s="671"/>
      <c r="J221" s="671"/>
      <c r="K221" s="671"/>
      <c r="L221" s="671"/>
    </row>
    <row r="222" spans="1:12">
      <c r="A222" s="671"/>
      <c r="B222" s="671"/>
      <c r="C222" s="671"/>
      <c r="D222" s="671"/>
      <c r="E222" s="671"/>
      <c r="F222" s="671"/>
      <c r="G222" s="671"/>
      <c r="H222" s="671"/>
      <c r="I222" s="671"/>
      <c r="J222" s="671"/>
      <c r="K222" s="671"/>
      <c r="L222" s="671"/>
    </row>
    <row r="223" spans="1:12">
      <c r="A223" s="671"/>
      <c r="B223" s="671"/>
      <c r="C223" s="671"/>
      <c r="D223" s="671"/>
      <c r="E223" s="671"/>
      <c r="F223" s="671"/>
      <c r="G223" s="671"/>
      <c r="H223" s="671"/>
      <c r="I223" s="671"/>
      <c r="J223" s="671"/>
      <c r="K223" s="671"/>
      <c r="L223" s="671"/>
    </row>
    <row r="224" spans="1:12">
      <c r="A224" s="671"/>
      <c r="B224" s="671"/>
      <c r="C224" s="671"/>
      <c r="D224" s="671"/>
      <c r="E224" s="671"/>
      <c r="F224" s="671"/>
      <c r="G224" s="671"/>
      <c r="H224" s="671"/>
      <c r="I224" s="671"/>
      <c r="J224" s="671"/>
      <c r="K224" s="671"/>
      <c r="L224" s="671"/>
    </row>
    <row r="225" spans="1:12">
      <c r="A225" s="671"/>
      <c r="B225" s="671"/>
      <c r="C225" s="671"/>
      <c r="D225" s="671"/>
      <c r="E225" s="671"/>
      <c r="F225" s="671"/>
      <c r="G225" s="671"/>
      <c r="H225" s="671"/>
      <c r="I225" s="671"/>
      <c r="J225" s="671"/>
      <c r="K225" s="671"/>
      <c r="L225" s="671"/>
    </row>
    <row r="226" spans="1:12">
      <c r="A226" s="671"/>
      <c r="B226" s="671"/>
      <c r="C226" s="671"/>
      <c r="D226" s="671"/>
      <c r="E226" s="671"/>
      <c r="F226" s="671"/>
      <c r="G226" s="671"/>
      <c r="H226" s="671"/>
      <c r="I226" s="671"/>
      <c r="J226" s="671"/>
      <c r="K226" s="671"/>
      <c r="L226" s="671"/>
    </row>
    <row r="227" spans="1:12">
      <c r="A227" s="671"/>
      <c r="B227" s="671"/>
      <c r="C227" s="671"/>
      <c r="D227" s="671"/>
      <c r="E227" s="671"/>
      <c r="F227" s="671"/>
      <c r="G227" s="671"/>
      <c r="H227" s="671"/>
      <c r="I227" s="671"/>
      <c r="J227" s="671"/>
      <c r="K227" s="671"/>
      <c r="L227" s="671"/>
    </row>
    <row r="228" spans="1:12">
      <c r="A228" s="671"/>
      <c r="B228" s="671"/>
      <c r="C228" s="671"/>
      <c r="D228" s="671"/>
      <c r="E228" s="671"/>
      <c r="F228" s="671"/>
      <c r="G228" s="671"/>
      <c r="H228" s="671"/>
      <c r="I228" s="671"/>
      <c r="J228" s="671"/>
      <c r="K228" s="671"/>
      <c r="L228" s="671"/>
    </row>
    <row r="229" spans="1:12">
      <c r="A229" s="671"/>
      <c r="B229" s="671"/>
      <c r="C229" s="671"/>
      <c r="D229" s="671"/>
      <c r="E229" s="671"/>
      <c r="F229" s="671"/>
      <c r="G229" s="671"/>
      <c r="H229" s="671"/>
      <c r="I229" s="671"/>
      <c r="J229" s="671"/>
      <c r="K229" s="671"/>
      <c r="L229" s="671"/>
    </row>
    <row r="230" spans="1:12">
      <c r="A230" s="671"/>
      <c r="B230" s="671"/>
      <c r="C230" s="671"/>
      <c r="D230" s="671"/>
      <c r="E230" s="671"/>
      <c r="F230" s="671"/>
      <c r="G230" s="671"/>
      <c r="H230" s="671"/>
      <c r="I230" s="671"/>
      <c r="J230" s="671"/>
      <c r="K230" s="671"/>
      <c r="L230" s="671"/>
    </row>
    <row r="231" spans="1:12">
      <c r="A231" s="671"/>
      <c r="B231" s="671"/>
      <c r="C231" s="671"/>
      <c r="D231" s="671"/>
      <c r="E231" s="671"/>
      <c r="F231" s="671"/>
      <c r="G231" s="671"/>
      <c r="H231" s="671"/>
      <c r="I231" s="671"/>
      <c r="J231" s="671"/>
      <c r="K231" s="671"/>
      <c r="L231" s="671"/>
    </row>
    <row r="232" spans="1:12">
      <c r="A232" s="671"/>
      <c r="B232" s="671"/>
      <c r="C232" s="671"/>
      <c r="D232" s="671"/>
      <c r="E232" s="671"/>
      <c r="F232" s="671"/>
      <c r="G232" s="671"/>
      <c r="H232" s="671"/>
      <c r="I232" s="671"/>
      <c r="J232" s="671"/>
      <c r="K232" s="671"/>
      <c r="L232" s="671"/>
    </row>
    <row r="233" spans="1:12">
      <c r="A233" s="671"/>
      <c r="B233" s="671"/>
      <c r="C233" s="671"/>
      <c r="D233" s="671"/>
      <c r="E233" s="671"/>
      <c r="F233" s="671"/>
      <c r="G233" s="671"/>
      <c r="H233" s="671"/>
      <c r="I233" s="671"/>
      <c r="J233" s="671"/>
      <c r="K233" s="671"/>
      <c r="L233" s="671"/>
    </row>
    <row r="234" spans="1:12">
      <c r="A234" s="671"/>
      <c r="B234" s="671"/>
      <c r="C234" s="671"/>
      <c r="D234" s="671"/>
      <c r="E234" s="671"/>
      <c r="F234" s="671"/>
      <c r="G234" s="671"/>
      <c r="H234" s="671"/>
      <c r="I234" s="671"/>
      <c r="J234" s="671"/>
      <c r="K234" s="671"/>
      <c r="L234" s="671"/>
    </row>
    <row r="235" spans="1:12">
      <c r="A235" s="671"/>
      <c r="B235" s="671"/>
      <c r="C235" s="671"/>
      <c r="D235" s="671"/>
      <c r="E235" s="671"/>
      <c r="F235" s="671"/>
      <c r="G235" s="671"/>
      <c r="H235" s="671"/>
      <c r="I235" s="671"/>
      <c r="J235" s="671"/>
      <c r="K235" s="671"/>
      <c r="L235" s="671"/>
    </row>
    <row r="236" spans="1:12">
      <c r="A236" s="671"/>
      <c r="B236" s="671"/>
      <c r="C236" s="671"/>
      <c r="D236" s="671"/>
      <c r="E236" s="671"/>
      <c r="F236" s="671"/>
      <c r="G236" s="671"/>
      <c r="H236" s="671"/>
      <c r="I236" s="671"/>
      <c r="J236" s="671"/>
      <c r="K236" s="671"/>
      <c r="L236" s="671"/>
    </row>
    <row r="237" spans="1:12">
      <c r="A237" s="671"/>
      <c r="B237" s="671"/>
      <c r="C237" s="671"/>
      <c r="D237" s="671"/>
      <c r="E237" s="671"/>
      <c r="F237" s="671"/>
      <c r="G237" s="671"/>
      <c r="H237" s="671"/>
      <c r="I237" s="671"/>
      <c r="J237" s="671"/>
      <c r="K237" s="671"/>
      <c r="L237" s="671"/>
    </row>
    <row r="238" spans="1:12">
      <c r="A238" s="671"/>
      <c r="B238" s="671"/>
      <c r="C238" s="671"/>
      <c r="D238" s="671"/>
      <c r="E238" s="671"/>
      <c r="F238" s="671"/>
      <c r="G238" s="671"/>
      <c r="H238" s="671"/>
      <c r="I238" s="671"/>
      <c r="J238" s="671"/>
      <c r="K238" s="671"/>
      <c r="L238" s="671"/>
    </row>
    <row r="239" spans="1:12">
      <c r="A239" s="671"/>
      <c r="B239" s="671"/>
      <c r="C239" s="671"/>
      <c r="D239" s="671"/>
      <c r="E239" s="671"/>
      <c r="F239" s="671"/>
      <c r="G239" s="671"/>
      <c r="H239" s="671"/>
      <c r="I239" s="671"/>
      <c r="J239" s="671"/>
      <c r="K239" s="671"/>
      <c r="L239" s="671"/>
    </row>
    <row r="240" spans="1:12">
      <c r="A240" s="671"/>
      <c r="B240" s="671"/>
      <c r="C240" s="671"/>
      <c r="D240" s="671"/>
      <c r="E240" s="671"/>
      <c r="F240" s="671"/>
      <c r="G240" s="671"/>
      <c r="H240" s="671"/>
      <c r="I240" s="671"/>
      <c r="J240" s="671"/>
      <c r="K240" s="671"/>
      <c r="L240" s="671"/>
    </row>
    <row r="241" spans="1:12">
      <c r="A241" s="671"/>
      <c r="B241" s="671"/>
      <c r="C241" s="671"/>
      <c r="D241" s="671"/>
      <c r="E241" s="671"/>
      <c r="F241" s="671"/>
      <c r="G241" s="671"/>
      <c r="H241" s="671"/>
      <c r="I241" s="671"/>
      <c r="J241" s="671"/>
      <c r="K241" s="671"/>
      <c r="L241" s="671"/>
    </row>
    <row r="242" spans="1:12">
      <c r="A242" s="671"/>
      <c r="B242" s="671"/>
      <c r="C242" s="671"/>
      <c r="D242" s="671"/>
      <c r="E242" s="671"/>
      <c r="F242" s="671"/>
      <c r="G242" s="671"/>
      <c r="H242" s="671"/>
      <c r="I242" s="671"/>
      <c r="J242" s="671"/>
      <c r="K242" s="671"/>
      <c r="L242" s="671"/>
    </row>
    <row r="243" spans="1:12">
      <c r="A243" s="671"/>
      <c r="B243" s="671"/>
      <c r="C243" s="671"/>
      <c r="D243" s="671"/>
      <c r="E243" s="671"/>
      <c r="F243" s="671"/>
      <c r="G243" s="671"/>
      <c r="H243" s="671"/>
      <c r="I243" s="671"/>
      <c r="J243" s="671"/>
      <c r="K243" s="671"/>
      <c r="L243" s="671"/>
    </row>
    <row r="244" spans="1:12">
      <c r="A244" s="671"/>
      <c r="B244" s="671"/>
      <c r="C244" s="671"/>
      <c r="D244" s="671"/>
      <c r="E244" s="671"/>
      <c r="F244" s="671"/>
      <c r="G244" s="671"/>
      <c r="H244" s="671"/>
      <c r="I244" s="671"/>
      <c r="J244" s="671"/>
      <c r="K244" s="671"/>
      <c r="L244" s="671"/>
    </row>
    <row r="245" spans="1:12">
      <c r="A245" s="671"/>
      <c r="B245" s="671"/>
      <c r="C245" s="671"/>
      <c r="D245" s="671"/>
      <c r="E245" s="671"/>
      <c r="F245" s="671"/>
      <c r="G245" s="671"/>
      <c r="H245" s="671"/>
      <c r="I245" s="671"/>
      <c r="J245" s="671"/>
      <c r="K245" s="671"/>
      <c r="L245" s="671"/>
    </row>
    <row r="246" spans="1:12">
      <c r="A246" s="671"/>
      <c r="B246" s="671"/>
      <c r="C246" s="671"/>
      <c r="D246" s="671"/>
      <c r="E246" s="671"/>
      <c r="F246" s="671"/>
      <c r="G246" s="671"/>
      <c r="H246" s="671"/>
      <c r="I246" s="671"/>
      <c r="J246" s="671"/>
      <c r="K246" s="671"/>
      <c r="L246" s="671"/>
    </row>
    <row r="247" spans="1:12">
      <c r="A247" s="671"/>
      <c r="B247" s="671"/>
      <c r="C247" s="671"/>
      <c r="D247" s="671"/>
      <c r="E247" s="671"/>
      <c r="F247" s="671"/>
      <c r="G247" s="671"/>
      <c r="H247" s="671"/>
      <c r="I247" s="671"/>
      <c r="J247" s="671"/>
      <c r="K247" s="671"/>
      <c r="L247" s="671"/>
    </row>
    <row r="248" spans="1:12">
      <c r="A248" s="671"/>
      <c r="B248" s="671"/>
      <c r="C248" s="671"/>
      <c r="D248" s="671"/>
      <c r="E248" s="671"/>
      <c r="F248" s="671"/>
      <c r="G248" s="671"/>
      <c r="H248" s="671"/>
      <c r="I248" s="671"/>
      <c r="J248" s="671"/>
      <c r="K248" s="671"/>
      <c r="L248" s="671"/>
    </row>
    <row r="249" spans="1:12">
      <c r="A249" s="671"/>
      <c r="B249" s="671"/>
      <c r="C249" s="671"/>
      <c r="D249" s="671"/>
      <c r="E249" s="671"/>
      <c r="F249" s="671"/>
      <c r="G249" s="671"/>
      <c r="H249" s="671"/>
      <c r="I249" s="671"/>
      <c r="J249" s="671"/>
      <c r="K249" s="671"/>
      <c r="L249" s="671"/>
    </row>
    <row r="250" spans="1:12">
      <c r="A250" s="671"/>
      <c r="B250" s="671"/>
      <c r="C250" s="671"/>
      <c r="D250" s="671"/>
      <c r="E250" s="671"/>
      <c r="F250" s="671"/>
      <c r="G250" s="671"/>
      <c r="H250" s="671"/>
      <c r="I250" s="671"/>
      <c r="J250" s="671"/>
      <c r="K250" s="671"/>
      <c r="L250" s="671"/>
    </row>
    <row r="251" spans="1:12">
      <c r="A251" s="671"/>
      <c r="B251" s="671"/>
      <c r="C251" s="671"/>
      <c r="D251" s="671"/>
      <c r="E251" s="671"/>
      <c r="F251" s="671"/>
      <c r="G251" s="671"/>
      <c r="H251" s="671"/>
      <c r="I251" s="671"/>
      <c r="J251" s="671"/>
      <c r="K251" s="671"/>
      <c r="L251" s="671"/>
    </row>
    <row r="252" spans="1:12">
      <c r="A252" s="671"/>
      <c r="B252" s="671"/>
      <c r="C252" s="671"/>
      <c r="D252" s="671"/>
      <c r="E252" s="671"/>
      <c r="F252" s="671"/>
      <c r="G252" s="671"/>
      <c r="H252" s="671"/>
      <c r="I252" s="671"/>
      <c r="J252" s="671"/>
      <c r="K252" s="671"/>
      <c r="L252" s="671"/>
    </row>
  </sheetData>
  <mergeCells count="13">
    <mergeCell ref="A9:L9"/>
    <mergeCell ref="A35:L35"/>
    <mergeCell ref="A37:L37"/>
    <mergeCell ref="K44:K45"/>
    <mergeCell ref="L44:L45"/>
    <mergeCell ref="D44:D45"/>
    <mergeCell ref="E44:F44"/>
    <mergeCell ref="A46:B46"/>
    <mergeCell ref="G44:H44"/>
    <mergeCell ref="I44:J44"/>
    <mergeCell ref="A44:A45"/>
    <mergeCell ref="B44:B45"/>
    <mergeCell ref="C44:C45"/>
  </mergeCells>
  <phoneticPr fontId="3" type="noConversion"/>
  <pageMargins left="0.45" right="0.5" top="1.04" bottom="0.6692913385826772" header="0.51181102362204722" footer="0.51181102362204722"/>
  <pageSetup paperSize="9" scale="70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I22"/>
  <sheetViews>
    <sheetView zoomScale="75" workbookViewId="0">
      <selection activeCell="H29" sqref="H29"/>
    </sheetView>
  </sheetViews>
  <sheetFormatPr defaultRowHeight="18.75"/>
  <cols>
    <col min="1" max="2" width="20.77734375" style="726" customWidth="1"/>
    <col min="3" max="3" width="14.77734375" style="726" customWidth="1"/>
    <col min="4" max="4" width="12.77734375" style="726" customWidth="1"/>
    <col min="5" max="5" width="15.77734375" style="726" customWidth="1"/>
    <col min="6" max="6" width="12.77734375" style="726" customWidth="1"/>
    <col min="7" max="7" width="15.77734375" style="726" customWidth="1"/>
    <col min="8" max="8" width="12.77734375" style="726" customWidth="1"/>
    <col min="9" max="9" width="15.77734375" style="726" customWidth="1"/>
  </cols>
  <sheetData>
    <row r="1" spans="1:9" ht="30" customHeight="1">
      <c r="A1" s="1702" t="s">
        <v>93</v>
      </c>
      <c r="B1" s="1702"/>
      <c r="C1" s="1702"/>
      <c r="D1" s="1702"/>
      <c r="E1" s="1702"/>
      <c r="F1" s="1702"/>
      <c r="G1" s="1702"/>
      <c r="H1" s="1702"/>
      <c r="I1" s="1702"/>
    </row>
    <row r="3" spans="1:9" ht="30.95" customHeight="1">
      <c r="A3" s="1703" t="s">
        <v>94</v>
      </c>
      <c r="B3" s="1703" t="s">
        <v>95</v>
      </c>
      <c r="C3" s="1705" t="s">
        <v>96</v>
      </c>
      <c r="D3" s="1706"/>
      <c r="E3" s="1705"/>
      <c r="F3" s="1706"/>
      <c r="G3" s="1705"/>
      <c r="H3" s="1706"/>
      <c r="I3" s="1703" t="s">
        <v>97</v>
      </c>
    </row>
    <row r="4" spans="1:9" ht="30.95" customHeight="1" thickBot="1">
      <c r="A4" s="1704"/>
      <c r="B4" s="1704"/>
      <c r="C4" s="718" t="s">
        <v>98</v>
      </c>
      <c r="D4" s="718" t="s">
        <v>99</v>
      </c>
      <c r="E4" s="718"/>
      <c r="F4" s="718"/>
      <c r="G4" s="718"/>
      <c r="H4" s="718"/>
      <c r="I4" s="1704"/>
    </row>
    <row r="5" spans="1:9" ht="30.95" customHeight="1" thickTop="1">
      <c r="A5" s="719" t="s">
        <v>100</v>
      </c>
      <c r="B5" s="719"/>
      <c r="C5" s="719">
        <v>90000</v>
      </c>
      <c r="D5" s="720">
        <v>289</v>
      </c>
      <c r="E5" s="721"/>
      <c r="F5" s="721"/>
      <c r="G5" s="721"/>
      <c r="H5" s="721"/>
      <c r="I5" s="722">
        <f t="shared" ref="I5:I11" si="0">C5</f>
        <v>90000</v>
      </c>
    </row>
    <row r="6" spans="1:9" ht="30.95" customHeight="1">
      <c r="A6" s="719" t="s">
        <v>101</v>
      </c>
      <c r="B6" s="719" t="s">
        <v>1596</v>
      </c>
      <c r="C6" s="719">
        <v>8000</v>
      </c>
      <c r="D6" s="720">
        <v>289</v>
      </c>
      <c r="E6" s="721"/>
      <c r="F6" s="721"/>
      <c r="G6" s="721"/>
      <c r="H6" s="721"/>
      <c r="I6" s="722">
        <f t="shared" si="0"/>
        <v>8000</v>
      </c>
    </row>
    <row r="7" spans="1:9" ht="30.95" customHeight="1">
      <c r="A7" s="719" t="s">
        <v>102</v>
      </c>
      <c r="B7" s="719" t="s">
        <v>103</v>
      </c>
      <c r="C7" s="719">
        <v>1200</v>
      </c>
      <c r="D7" s="720">
        <v>289</v>
      </c>
      <c r="E7" s="721"/>
      <c r="F7" s="721"/>
      <c r="G7" s="721"/>
      <c r="H7" s="721"/>
      <c r="I7" s="722">
        <f t="shared" si="0"/>
        <v>1200</v>
      </c>
    </row>
    <row r="8" spans="1:9" ht="30.95" customHeight="1">
      <c r="A8" s="719" t="s">
        <v>104</v>
      </c>
      <c r="B8" s="719" t="s">
        <v>105</v>
      </c>
      <c r="C8" s="719">
        <v>900</v>
      </c>
      <c r="D8" s="720">
        <v>289</v>
      </c>
      <c r="E8" s="721"/>
      <c r="F8" s="721"/>
      <c r="G8" s="721"/>
      <c r="H8" s="721"/>
      <c r="I8" s="722">
        <f t="shared" si="0"/>
        <v>900</v>
      </c>
    </row>
    <row r="9" spans="1:9" ht="30.95" customHeight="1">
      <c r="A9" s="723" t="s">
        <v>106</v>
      </c>
      <c r="B9" s="723" t="s">
        <v>107</v>
      </c>
      <c r="C9" s="724">
        <v>4200</v>
      </c>
      <c r="D9" s="725">
        <v>99</v>
      </c>
      <c r="E9" s="724"/>
      <c r="F9" s="724"/>
      <c r="G9" s="724"/>
      <c r="H9" s="724"/>
      <c r="I9" s="724">
        <f t="shared" si="0"/>
        <v>4200</v>
      </c>
    </row>
    <row r="10" spans="1:9" ht="30.95" customHeight="1">
      <c r="A10" s="723" t="s">
        <v>108</v>
      </c>
      <c r="B10" s="723" t="s">
        <v>109</v>
      </c>
      <c r="C10" s="724">
        <v>943</v>
      </c>
      <c r="D10" s="725">
        <v>66</v>
      </c>
      <c r="E10" s="724"/>
      <c r="F10" s="724"/>
      <c r="G10" s="724"/>
      <c r="H10" s="724"/>
      <c r="I10" s="724">
        <f t="shared" si="0"/>
        <v>943</v>
      </c>
    </row>
    <row r="11" spans="1:9" ht="30.95" customHeight="1">
      <c r="A11" s="723" t="s">
        <v>110</v>
      </c>
      <c r="B11" s="723" t="s">
        <v>1597</v>
      </c>
      <c r="C11" s="724">
        <v>600</v>
      </c>
      <c r="D11" s="725">
        <v>289</v>
      </c>
      <c r="E11" s="724"/>
      <c r="F11" s="724"/>
      <c r="G11" s="724"/>
      <c r="H11" s="724"/>
      <c r="I11" s="724">
        <f t="shared" si="0"/>
        <v>600</v>
      </c>
    </row>
    <row r="12" spans="1:9" ht="30.95" customHeight="1">
      <c r="A12" s="723"/>
      <c r="B12" s="723"/>
      <c r="C12" s="724"/>
      <c r="D12" s="725"/>
      <c r="E12" s="724"/>
      <c r="F12" s="724"/>
      <c r="G12" s="724"/>
      <c r="H12" s="724"/>
      <c r="I12" s="724"/>
    </row>
    <row r="13" spans="1:9" ht="30.95" customHeight="1">
      <c r="A13" s="723"/>
      <c r="B13" s="723"/>
      <c r="C13" s="724"/>
      <c r="D13" s="725"/>
      <c r="E13" s="724"/>
      <c r="F13" s="724"/>
      <c r="G13" s="724"/>
      <c r="H13" s="724"/>
      <c r="I13" s="724"/>
    </row>
    <row r="14" spans="1:9" ht="30.95" customHeight="1">
      <c r="A14" s="723"/>
      <c r="B14" s="723"/>
      <c r="C14" s="724"/>
      <c r="D14" s="725"/>
      <c r="E14" s="724"/>
      <c r="F14" s="724"/>
      <c r="G14" s="724"/>
      <c r="H14" s="724"/>
      <c r="I14" s="724"/>
    </row>
    <row r="15" spans="1:9" ht="30.95" customHeight="1">
      <c r="A15" s="723"/>
      <c r="B15" s="723"/>
      <c r="C15" s="724"/>
      <c r="D15" s="725"/>
      <c r="E15" s="724"/>
      <c r="F15" s="724"/>
      <c r="G15" s="724"/>
      <c r="H15" s="724"/>
      <c r="I15" s="724"/>
    </row>
    <row r="16" spans="1:9" ht="30.95" customHeight="1">
      <c r="A16" s="723"/>
      <c r="B16" s="723"/>
      <c r="C16" s="724"/>
      <c r="D16" s="725"/>
      <c r="E16" s="724"/>
      <c r="F16" s="724"/>
      <c r="G16" s="724"/>
      <c r="H16" s="724"/>
      <c r="I16" s="724"/>
    </row>
    <row r="17" spans="1:9" ht="30.95" customHeight="1">
      <c r="A17" s="723"/>
      <c r="B17" s="723"/>
      <c r="C17" s="724"/>
      <c r="D17" s="725"/>
      <c r="E17" s="724"/>
      <c r="F17" s="724"/>
      <c r="G17" s="724"/>
      <c r="H17" s="724"/>
      <c r="I17" s="724"/>
    </row>
    <row r="18" spans="1:9" ht="30.95" customHeight="1">
      <c r="A18" s="723"/>
      <c r="B18" s="723"/>
      <c r="C18" s="724"/>
      <c r="D18" s="725"/>
      <c r="E18" s="724"/>
      <c r="F18" s="724"/>
      <c r="G18" s="724"/>
      <c r="H18" s="724"/>
      <c r="I18" s="724"/>
    </row>
    <row r="19" spans="1:9" ht="30.95" customHeight="1">
      <c r="A19" s="723"/>
      <c r="B19" s="723"/>
      <c r="C19" s="724"/>
      <c r="D19" s="725"/>
      <c r="E19" s="724"/>
      <c r="F19" s="724"/>
      <c r="G19" s="724"/>
      <c r="H19" s="724"/>
      <c r="I19" s="724"/>
    </row>
    <row r="20" spans="1:9" ht="30.95" customHeight="1">
      <c r="A20" s="723"/>
      <c r="B20" s="723"/>
      <c r="C20" s="724"/>
      <c r="D20" s="725"/>
      <c r="E20" s="724"/>
      <c r="F20" s="724"/>
      <c r="G20" s="724"/>
      <c r="H20" s="724"/>
      <c r="I20" s="724"/>
    </row>
    <row r="21" spans="1:9" ht="30.95" customHeight="1">
      <c r="A21" s="723"/>
      <c r="B21" s="723"/>
      <c r="C21" s="724"/>
      <c r="D21" s="725"/>
      <c r="E21" s="724"/>
      <c r="F21" s="724"/>
      <c r="G21" s="724"/>
      <c r="H21" s="724"/>
      <c r="I21" s="724"/>
    </row>
    <row r="22" spans="1:9" ht="30.95" customHeight="1">
      <c r="A22" s="723"/>
      <c r="B22" s="723"/>
      <c r="C22" s="724"/>
      <c r="D22" s="725"/>
      <c r="E22" s="724"/>
      <c r="F22" s="724"/>
      <c r="G22" s="724"/>
      <c r="H22" s="724"/>
      <c r="I22" s="724"/>
    </row>
  </sheetData>
  <mergeCells count="7">
    <mergeCell ref="A1:I1"/>
    <mergeCell ref="A3:A4"/>
    <mergeCell ref="C3:D3"/>
    <mergeCell ref="E3:F3"/>
    <mergeCell ref="G3:H3"/>
    <mergeCell ref="I3:I4"/>
    <mergeCell ref="B3:B4"/>
  </mergeCells>
  <phoneticPr fontId="3" type="noConversion"/>
  <pageMargins left="0.75" right="0.52" top="1" bottom="0.64" header="0.5" footer="0.5"/>
  <pageSetup paperSize="9" scale="8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E28"/>
  <sheetViews>
    <sheetView zoomScale="75" workbookViewId="0">
      <selection activeCell="B8" sqref="B8"/>
    </sheetView>
  </sheetViews>
  <sheetFormatPr defaultRowHeight="18.75"/>
  <cols>
    <col min="1" max="1" width="20.77734375" style="726" customWidth="1"/>
    <col min="2" max="4" width="16.77734375" style="726" customWidth="1"/>
    <col min="5" max="5" width="18.77734375" style="726" customWidth="1"/>
  </cols>
  <sheetData>
    <row r="1" spans="1:5" ht="39.950000000000003" customHeight="1">
      <c r="A1" s="1707" t="s">
        <v>111</v>
      </c>
      <c r="B1" s="1707"/>
      <c r="C1" s="1707"/>
      <c r="D1" s="1707"/>
      <c r="E1" s="1707"/>
    </row>
    <row r="3" spans="1:5" ht="30.95" customHeight="1" thickBot="1">
      <c r="A3" s="718" t="s">
        <v>112</v>
      </c>
      <c r="B3" s="718" t="s">
        <v>1379</v>
      </c>
      <c r="C3" s="718" t="s">
        <v>113</v>
      </c>
      <c r="D3" s="718" t="s">
        <v>114</v>
      </c>
      <c r="E3" s="718" t="s">
        <v>115</v>
      </c>
    </row>
    <row r="4" spans="1:5" ht="30.95" customHeight="1" thickTop="1">
      <c r="A4" s="719" t="s">
        <v>1422</v>
      </c>
      <c r="B4" s="719">
        <v>84404</v>
      </c>
      <c r="C4" s="719">
        <v>84686</v>
      </c>
      <c r="D4" s="719">
        <v>81596</v>
      </c>
      <c r="E4" s="719">
        <f>B4</f>
        <v>84404</v>
      </c>
    </row>
    <row r="5" spans="1:5" ht="30.95" customHeight="1">
      <c r="A5" s="723" t="s">
        <v>839</v>
      </c>
      <c r="B5" s="724">
        <v>68965</v>
      </c>
      <c r="C5" s="724">
        <v>66622</v>
      </c>
      <c r="D5" s="724">
        <v>63530</v>
      </c>
      <c r="E5" s="724">
        <f>B5</f>
        <v>68965</v>
      </c>
    </row>
    <row r="6" spans="1:5" ht="30.95" customHeight="1">
      <c r="A6" s="723" t="s">
        <v>848</v>
      </c>
      <c r="B6" s="724">
        <v>86521</v>
      </c>
      <c r="C6" s="724">
        <v>81094</v>
      </c>
      <c r="D6" s="724">
        <v>79128</v>
      </c>
      <c r="E6" s="724">
        <f>B6</f>
        <v>86521</v>
      </c>
    </row>
    <row r="7" spans="1:5" ht="30.95" customHeight="1">
      <c r="A7" s="723" t="s">
        <v>1245</v>
      </c>
      <c r="B7" s="724">
        <v>79533</v>
      </c>
      <c r="C7" s="724">
        <v>77924</v>
      </c>
      <c r="D7" s="724">
        <v>77435</v>
      </c>
      <c r="E7" s="724">
        <f>B7</f>
        <v>79533</v>
      </c>
    </row>
    <row r="8" spans="1:5" ht="30.95" customHeight="1">
      <c r="A8" s="723"/>
      <c r="B8" s="724"/>
      <c r="C8" s="724"/>
      <c r="D8" s="724"/>
      <c r="E8" s="724"/>
    </row>
    <row r="9" spans="1:5" ht="30.95" customHeight="1">
      <c r="A9" s="723"/>
      <c r="B9" s="724"/>
      <c r="C9" s="724"/>
      <c r="D9" s="724"/>
      <c r="E9" s="724"/>
    </row>
    <row r="10" spans="1:5" ht="30.95" customHeight="1">
      <c r="A10" s="723"/>
      <c r="B10" s="724"/>
      <c r="C10" s="724"/>
      <c r="D10" s="724"/>
      <c r="E10" s="724"/>
    </row>
    <row r="11" spans="1:5" ht="30.95" customHeight="1">
      <c r="A11" s="723"/>
      <c r="B11" s="724"/>
      <c r="C11" s="724"/>
      <c r="D11" s="724"/>
      <c r="E11" s="724"/>
    </row>
    <row r="12" spans="1:5" ht="30.95" customHeight="1">
      <c r="A12" s="723"/>
      <c r="B12" s="724"/>
      <c r="C12" s="724"/>
      <c r="D12" s="724"/>
      <c r="E12" s="724"/>
    </row>
    <row r="13" spans="1:5" ht="30.95" customHeight="1">
      <c r="A13" s="723"/>
      <c r="B13" s="724"/>
      <c r="C13" s="724"/>
      <c r="D13" s="724"/>
      <c r="E13" s="724"/>
    </row>
    <row r="14" spans="1:5" ht="30.95" customHeight="1">
      <c r="A14" s="723"/>
      <c r="B14" s="724"/>
      <c r="C14" s="724"/>
      <c r="D14" s="724"/>
      <c r="E14" s="724"/>
    </row>
    <row r="15" spans="1:5" ht="30.95" customHeight="1">
      <c r="A15" s="723"/>
      <c r="B15" s="724"/>
      <c r="C15" s="724"/>
      <c r="D15" s="724"/>
      <c r="E15" s="724"/>
    </row>
    <row r="16" spans="1:5" ht="30.95" customHeight="1">
      <c r="A16" s="723"/>
      <c r="B16" s="724"/>
      <c r="C16" s="724"/>
      <c r="D16" s="724"/>
      <c r="E16" s="724"/>
    </row>
    <row r="17" spans="1:5" ht="30.95" customHeight="1">
      <c r="A17" s="723"/>
      <c r="B17" s="724"/>
      <c r="C17" s="724"/>
      <c r="D17" s="724"/>
      <c r="E17" s="724"/>
    </row>
    <row r="18" spans="1:5" ht="30.95" customHeight="1">
      <c r="A18" s="723"/>
      <c r="B18" s="724"/>
      <c r="C18" s="724"/>
      <c r="D18" s="724"/>
      <c r="E18" s="724"/>
    </row>
    <row r="19" spans="1:5" ht="30.95" customHeight="1">
      <c r="A19" s="723"/>
      <c r="B19" s="724"/>
      <c r="C19" s="724"/>
      <c r="D19" s="724"/>
      <c r="E19" s="724"/>
    </row>
    <row r="20" spans="1:5" ht="30.95" customHeight="1">
      <c r="A20" s="723"/>
      <c r="B20" s="724"/>
      <c r="C20" s="724"/>
      <c r="D20" s="724"/>
      <c r="E20" s="724"/>
    </row>
    <row r="21" spans="1:5" ht="30.95" customHeight="1">
      <c r="A21" s="723"/>
      <c r="B21" s="724"/>
      <c r="C21" s="724"/>
      <c r="D21" s="724"/>
      <c r="E21" s="724"/>
    </row>
    <row r="22" spans="1:5" ht="30.95" customHeight="1">
      <c r="A22" s="723"/>
      <c r="B22" s="724"/>
      <c r="C22" s="724"/>
      <c r="D22" s="724"/>
      <c r="E22" s="724"/>
    </row>
    <row r="23" spans="1:5" ht="30.95" customHeight="1">
      <c r="A23" s="723"/>
      <c r="B23" s="724"/>
      <c r="C23" s="724"/>
      <c r="D23" s="724"/>
      <c r="E23" s="724"/>
    </row>
    <row r="24" spans="1:5" ht="30.95" customHeight="1">
      <c r="A24" s="723"/>
      <c r="B24" s="724"/>
      <c r="C24" s="724"/>
      <c r="D24" s="724"/>
      <c r="E24" s="724"/>
    </row>
    <row r="25" spans="1:5" ht="30.95" customHeight="1">
      <c r="A25" s="723"/>
      <c r="B25" s="724"/>
      <c r="C25" s="724"/>
      <c r="D25" s="724"/>
      <c r="E25" s="724"/>
    </row>
    <row r="26" spans="1:5" ht="30.95" customHeight="1">
      <c r="A26" s="723"/>
      <c r="B26" s="724"/>
      <c r="C26" s="724"/>
      <c r="D26" s="724"/>
      <c r="E26" s="724"/>
    </row>
    <row r="27" spans="1:5" ht="30.95" customHeight="1">
      <c r="A27" s="723"/>
      <c r="B27" s="724"/>
      <c r="C27" s="724"/>
      <c r="D27" s="724"/>
      <c r="E27" s="724"/>
    </row>
    <row r="28" spans="1:5" ht="30.95" customHeight="1">
      <c r="A28" s="723"/>
      <c r="B28" s="724"/>
      <c r="C28" s="724"/>
      <c r="D28" s="724"/>
      <c r="E28" s="724"/>
    </row>
  </sheetData>
  <mergeCells count="1">
    <mergeCell ref="A1:E1"/>
  </mergeCells>
  <phoneticPr fontId="3" type="noConversion"/>
  <pageMargins left="0.75" right="0.75" top="1" bottom="1" header="0.5" footer="0.5"/>
  <pageSetup paperSize="9" scale="8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dimension ref="A1:O137"/>
  <sheetViews>
    <sheetView topLeftCell="A118" zoomScale="75" workbookViewId="0">
      <selection activeCell="E67" sqref="E67"/>
    </sheetView>
  </sheetViews>
  <sheetFormatPr defaultRowHeight="13.5"/>
  <cols>
    <col min="1" max="1" width="18.77734375" customWidth="1"/>
    <col min="2" max="2" width="19.77734375" customWidth="1"/>
    <col min="3" max="3" width="12.77734375" customWidth="1"/>
    <col min="4" max="4" width="8.77734375" customWidth="1"/>
    <col min="5" max="5" width="13.77734375" customWidth="1"/>
    <col min="6" max="6" width="15.77734375" customWidth="1"/>
    <col min="7" max="7" width="10.77734375" customWidth="1"/>
  </cols>
  <sheetData>
    <row r="1" spans="1:7" ht="27" customHeight="1">
      <c r="A1" s="727"/>
      <c r="B1" s="728"/>
      <c r="C1" s="728"/>
      <c r="D1" s="728"/>
      <c r="E1" s="729"/>
      <c r="F1" s="729"/>
      <c r="G1" s="730"/>
    </row>
    <row r="2" spans="1:7" ht="27" customHeight="1">
      <c r="A2" s="731"/>
      <c r="B2" s="732"/>
      <c r="C2" s="732"/>
      <c r="D2" s="732"/>
      <c r="E2" s="733"/>
      <c r="F2" s="733"/>
      <c r="G2" s="734"/>
    </row>
    <row r="3" spans="1:7" ht="27" customHeight="1">
      <c r="A3" s="735"/>
      <c r="B3" s="736"/>
      <c r="C3" s="736"/>
      <c r="D3" s="736"/>
      <c r="E3" s="736"/>
      <c r="F3" s="736"/>
      <c r="G3" s="737"/>
    </row>
    <row r="4" spans="1:7" ht="27" customHeight="1">
      <c r="A4" s="1716" t="s">
        <v>116</v>
      </c>
      <c r="B4" s="1717"/>
      <c r="C4" s="1717"/>
      <c r="D4" s="1717"/>
      <c r="E4" s="1717"/>
      <c r="F4" s="1717"/>
      <c r="G4" s="1718"/>
    </row>
    <row r="5" spans="1:7" ht="27" customHeight="1">
      <c r="A5" s="1716"/>
      <c r="B5" s="1717"/>
      <c r="C5" s="1717"/>
      <c r="D5" s="1717"/>
      <c r="E5" s="1717"/>
      <c r="F5" s="1717"/>
      <c r="G5" s="1718"/>
    </row>
    <row r="6" spans="1:7" ht="27" customHeight="1">
      <c r="A6" s="735"/>
      <c r="B6" s="736"/>
      <c r="C6" s="738"/>
      <c r="D6" s="736"/>
      <c r="E6" s="738"/>
      <c r="F6" s="739"/>
      <c r="G6" s="740"/>
    </row>
    <row r="7" spans="1:7" ht="27" customHeight="1">
      <c r="A7" s="735"/>
      <c r="B7" s="736"/>
      <c r="C7" s="741"/>
      <c r="D7" s="736"/>
      <c r="E7" s="738"/>
      <c r="F7" s="739"/>
      <c r="G7" s="740"/>
    </row>
    <row r="8" spans="1:7" ht="27" customHeight="1">
      <c r="A8" s="735"/>
      <c r="B8" s="736"/>
      <c r="C8" s="739"/>
      <c r="D8" s="736"/>
      <c r="E8" s="738"/>
      <c r="F8" s="739"/>
      <c r="G8" s="740"/>
    </row>
    <row r="9" spans="1:7" ht="27" customHeight="1">
      <c r="A9" s="735"/>
      <c r="B9" s="736"/>
      <c r="C9" s="739"/>
      <c r="D9" s="736"/>
      <c r="E9" s="738"/>
      <c r="F9" s="739"/>
      <c r="G9" s="740"/>
    </row>
    <row r="10" spans="1:7" ht="27" customHeight="1">
      <c r="A10" s="735" t="s">
        <v>117</v>
      </c>
      <c r="B10" s="736"/>
      <c r="C10" s="738"/>
      <c r="D10" s="736"/>
      <c r="E10" s="738"/>
      <c r="F10" s="739"/>
      <c r="G10" s="740"/>
    </row>
    <row r="11" spans="1:7" ht="27" customHeight="1">
      <c r="A11" s="735" t="s">
        <v>118</v>
      </c>
      <c r="B11" s="742">
        <v>938.2</v>
      </c>
      <c r="C11" s="743" t="s">
        <v>119</v>
      </c>
      <c r="D11" s="736"/>
      <c r="E11" s="738"/>
      <c r="F11" s="739"/>
      <c r="G11" s="740"/>
    </row>
    <row r="12" spans="1:7" ht="27" customHeight="1">
      <c r="A12" s="744"/>
      <c r="B12" s="736"/>
      <c r="C12" s="738"/>
      <c r="D12" s="736"/>
      <c r="E12" s="738"/>
      <c r="F12" s="739"/>
      <c r="G12" s="740"/>
    </row>
    <row r="13" spans="1:7" ht="27" customHeight="1">
      <c r="A13" s="735" t="s">
        <v>120</v>
      </c>
      <c r="B13" s="736"/>
      <c r="C13" s="738"/>
      <c r="D13" s="736"/>
      <c r="E13" s="738"/>
      <c r="F13" s="739"/>
      <c r="G13" s="740"/>
    </row>
    <row r="14" spans="1:7" ht="27" customHeight="1">
      <c r="A14" s="735" t="s">
        <v>121</v>
      </c>
      <c r="B14" s="745">
        <v>1135.22</v>
      </c>
      <c r="C14" s="738" t="s">
        <v>122</v>
      </c>
      <c r="D14" s="736"/>
      <c r="E14" s="738"/>
      <c r="F14" s="738"/>
      <c r="G14" s="740"/>
    </row>
    <row r="15" spans="1:7" ht="27" customHeight="1">
      <c r="A15" s="735" t="s">
        <v>123</v>
      </c>
      <c r="B15" s="745">
        <v>1124.95</v>
      </c>
      <c r="C15" s="738" t="s">
        <v>122</v>
      </c>
      <c r="D15" s="736"/>
      <c r="E15" s="738"/>
      <c r="F15" s="739"/>
      <c r="G15" s="740"/>
    </row>
    <row r="16" spans="1:7" ht="27" customHeight="1">
      <c r="A16" s="746"/>
      <c r="B16" s="733"/>
      <c r="C16" s="733"/>
      <c r="D16" s="733"/>
      <c r="E16" s="733"/>
      <c r="F16" s="733"/>
      <c r="G16" s="734"/>
    </row>
    <row r="17" spans="1:15" ht="27" customHeight="1">
      <c r="A17" s="735" t="s">
        <v>124</v>
      </c>
      <c r="B17" s="733"/>
      <c r="C17" s="733"/>
      <c r="D17" s="733"/>
      <c r="E17" s="733"/>
      <c r="F17" s="733"/>
      <c r="G17" s="734"/>
    </row>
    <row r="18" spans="1:15" ht="27" customHeight="1">
      <c r="A18" s="1719"/>
      <c r="B18" s="1720"/>
      <c r="C18" s="733"/>
      <c r="D18" s="733"/>
      <c r="E18" s="733"/>
      <c r="F18" s="733"/>
      <c r="G18" s="734"/>
    </row>
    <row r="19" spans="1:15" ht="27" customHeight="1">
      <c r="A19" s="747" t="s">
        <v>125</v>
      </c>
      <c r="B19" s="748" t="s">
        <v>126</v>
      </c>
      <c r="C19" s="339"/>
      <c r="D19" s="339"/>
      <c r="E19" s="749">
        <f>ROUNDDOWN(95508*0.20833,0)</f>
        <v>19897</v>
      </c>
      <c r="F19" s="748" t="s">
        <v>119</v>
      </c>
      <c r="G19" s="750"/>
      <c r="J19" s="736"/>
      <c r="K19" s="736"/>
      <c r="L19" s="736"/>
      <c r="M19" s="736"/>
      <c r="N19" s="736"/>
      <c r="O19" s="736"/>
    </row>
    <row r="20" spans="1:15" ht="27" customHeight="1">
      <c r="A20" s="747" t="s">
        <v>127</v>
      </c>
      <c r="B20" s="748" t="s">
        <v>128</v>
      </c>
      <c r="C20" s="339"/>
      <c r="D20" s="339"/>
      <c r="E20" s="749">
        <f>ROUNDDOWN(79737*0.20833,1)</f>
        <v>16611.599999999999</v>
      </c>
      <c r="F20" s="748" t="s">
        <v>119</v>
      </c>
      <c r="G20" s="750"/>
      <c r="J20" s="736"/>
      <c r="K20" s="736"/>
      <c r="L20" s="736"/>
      <c r="M20" s="736"/>
      <c r="N20" s="736"/>
      <c r="O20" s="736"/>
    </row>
    <row r="21" spans="1:15" ht="27" customHeight="1">
      <c r="A21" s="747" t="s">
        <v>129</v>
      </c>
      <c r="B21" s="748" t="s">
        <v>130</v>
      </c>
      <c r="C21" s="339"/>
      <c r="D21" s="339"/>
      <c r="E21" s="749">
        <f>ROUNDDOWN(69388*0.20833,1)</f>
        <v>14455.6</v>
      </c>
      <c r="F21" s="748" t="s">
        <v>119</v>
      </c>
      <c r="G21" s="737"/>
      <c r="J21" s="736"/>
      <c r="K21" s="736"/>
      <c r="L21" s="736"/>
      <c r="M21" s="736"/>
      <c r="N21" s="736"/>
      <c r="O21" s="736"/>
    </row>
    <row r="22" spans="1:15" ht="27" customHeight="1">
      <c r="A22" s="747" t="s">
        <v>131</v>
      </c>
      <c r="B22" s="748" t="s">
        <v>132</v>
      </c>
      <c r="C22" s="339"/>
      <c r="D22" s="339"/>
      <c r="E22" s="749">
        <f>ROUNDDOWN(53053*0.20833,1)</f>
        <v>11052.5</v>
      </c>
      <c r="F22" s="748" t="s">
        <v>119</v>
      </c>
      <c r="G22" s="740"/>
      <c r="J22" s="736"/>
      <c r="K22" s="736"/>
      <c r="L22" s="736"/>
      <c r="M22" s="736"/>
      <c r="N22" s="736"/>
      <c r="O22" s="736"/>
    </row>
    <row r="23" spans="1:15" ht="27" customHeight="1">
      <c r="A23" s="747" t="s">
        <v>133</v>
      </c>
      <c r="B23" s="748" t="s">
        <v>134</v>
      </c>
      <c r="C23" s="339"/>
      <c r="D23" s="339"/>
      <c r="E23" s="749">
        <f>ROUNDDOWN(92297*0.20833,1)</f>
        <v>19228.2</v>
      </c>
      <c r="F23" s="748" t="s">
        <v>119</v>
      </c>
      <c r="G23" s="740"/>
      <c r="J23" s="736"/>
      <c r="K23" s="736"/>
      <c r="L23" s="736"/>
      <c r="M23" s="736"/>
      <c r="N23" s="736"/>
      <c r="O23" s="736"/>
    </row>
    <row r="24" spans="1:15" ht="27" customHeight="1">
      <c r="A24" s="735"/>
      <c r="B24" s="736"/>
      <c r="C24" s="738"/>
      <c r="D24" s="736"/>
      <c r="E24" s="738"/>
      <c r="F24" s="739"/>
      <c r="G24" s="740"/>
    </row>
    <row r="25" spans="1:15" ht="27" customHeight="1">
      <c r="A25" s="735"/>
      <c r="B25" s="736"/>
      <c r="C25" s="738"/>
      <c r="D25" s="736"/>
      <c r="E25" s="738"/>
      <c r="F25" s="739"/>
      <c r="G25" s="740"/>
    </row>
    <row r="26" spans="1:15" ht="27" customHeight="1">
      <c r="A26" s="735"/>
      <c r="B26" s="736"/>
      <c r="C26" s="739"/>
      <c r="D26" s="736"/>
      <c r="E26" s="738"/>
      <c r="F26" s="739"/>
      <c r="G26" s="740"/>
    </row>
    <row r="27" spans="1:15" ht="27" customHeight="1">
      <c r="A27" s="735"/>
      <c r="B27" s="736"/>
      <c r="C27" s="739"/>
      <c r="D27" s="736"/>
      <c r="E27" s="738"/>
      <c r="F27" s="739"/>
      <c r="G27" s="740"/>
    </row>
    <row r="28" spans="1:15" ht="27" customHeight="1">
      <c r="A28" s="735"/>
      <c r="B28" s="736"/>
      <c r="C28" s="738"/>
      <c r="D28" s="736"/>
      <c r="E28" s="738"/>
      <c r="F28" s="739"/>
      <c r="G28" s="740"/>
    </row>
    <row r="29" spans="1:15" ht="27" customHeight="1">
      <c r="A29" s="735"/>
      <c r="B29" s="736"/>
      <c r="C29" s="743"/>
      <c r="D29" s="736"/>
      <c r="E29" s="738"/>
      <c r="F29" s="739"/>
      <c r="G29" s="740"/>
    </row>
    <row r="30" spans="1:15" ht="27" customHeight="1">
      <c r="A30" s="744"/>
      <c r="B30" s="736"/>
      <c r="C30" s="738"/>
      <c r="D30" s="736"/>
      <c r="E30" s="738"/>
      <c r="F30" s="739"/>
      <c r="G30" s="740"/>
    </row>
    <row r="31" spans="1:15" ht="27" customHeight="1">
      <c r="A31" s="744"/>
      <c r="B31" s="736"/>
      <c r="C31" s="738"/>
      <c r="D31" s="736"/>
      <c r="E31" s="738"/>
      <c r="F31" s="739"/>
      <c r="G31" s="740"/>
    </row>
    <row r="32" spans="1:15" ht="27" customHeight="1">
      <c r="A32" s="744"/>
      <c r="B32" s="736"/>
      <c r="C32" s="738"/>
      <c r="D32" s="736"/>
      <c r="E32" s="738"/>
      <c r="F32" s="738"/>
      <c r="G32" s="740"/>
    </row>
    <row r="33" spans="1:7" ht="27" customHeight="1" thickBot="1">
      <c r="A33" s="751"/>
      <c r="B33" s="752"/>
      <c r="C33" s="753"/>
      <c r="D33" s="752"/>
      <c r="E33" s="753"/>
      <c r="F33" s="754"/>
      <c r="G33" s="755"/>
    </row>
    <row r="34" spans="1:7" ht="27" customHeight="1" thickBot="1">
      <c r="A34" s="756"/>
      <c r="B34" s="756"/>
      <c r="C34" s="756"/>
      <c r="D34" s="756"/>
      <c r="E34" s="756"/>
      <c r="F34" s="756"/>
      <c r="G34" s="756"/>
    </row>
    <row r="35" spans="1:7" ht="27" customHeight="1">
      <c r="A35" s="1711" t="s">
        <v>135</v>
      </c>
      <c r="B35" s="1712"/>
      <c r="C35" s="1712"/>
      <c r="D35" s="1712"/>
      <c r="E35" s="757"/>
      <c r="F35" s="757"/>
      <c r="G35" s="758"/>
    </row>
    <row r="36" spans="1:7" ht="27" customHeight="1">
      <c r="A36" s="1708" t="s">
        <v>136</v>
      </c>
      <c r="B36" s="1709"/>
      <c r="C36" s="1709"/>
      <c r="D36" s="1709"/>
      <c r="E36" s="760"/>
      <c r="F36" s="1713"/>
      <c r="G36" s="1714"/>
    </row>
    <row r="37" spans="1:7" ht="27" customHeight="1" thickBot="1">
      <c r="A37" s="761" t="s">
        <v>137</v>
      </c>
      <c r="B37" s="762" t="s">
        <v>138</v>
      </c>
      <c r="C37" s="762" t="s">
        <v>139</v>
      </c>
      <c r="D37" s="762" t="s">
        <v>140</v>
      </c>
      <c r="E37" s="762" t="s">
        <v>98</v>
      </c>
      <c r="F37" s="762" t="s">
        <v>141</v>
      </c>
      <c r="G37" s="763" t="s">
        <v>1262</v>
      </c>
    </row>
    <row r="38" spans="1:7" ht="27" customHeight="1">
      <c r="A38" s="764" t="s">
        <v>2205</v>
      </c>
      <c r="B38" s="765" t="s">
        <v>142</v>
      </c>
      <c r="C38" s="766">
        <v>8.6999999999999993</v>
      </c>
      <c r="D38" s="765" t="s">
        <v>143</v>
      </c>
      <c r="E38" s="767">
        <f>B15</f>
        <v>1124.95</v>
      </c>
      <c r="F38" s="768">
        <f>ROUNDDOWN(C38*E38,1)</f>
        <v>9787</v>
      </c>
      <c r="G38" s="769"/>
    </row>
    <row r="39" spans="1:7" ht="27" customHeight="1">
      <c r="A39" s="764"/>
      <c r="B39" s="770" t="s">
        <v>144</v>
      </c>
      <c r="C39" s="771">
        <v>24</v>
      </c>
      <c r="D39" s="770" t="s">
        <v>861</v>
      </c>
      <c r="E39" s="771"/>
      <c r="F39" s="772">
        <f>ROUNDDOWN(F38*0.24,1)</f>
        <v>2348.8000000000002</v>
      </c>
      <c r="G39" s="773"/>
    </row>
    <row r="40" spans="1:7" ht="27" customHeight="1">
      <c r="A40" s="774"/>
      <c r="B40" s="775" t="s">
        <v>145</v>
      </c>
      <c r="C40" s="776"/>
      <c r="D40" s="775"/>
      <c r="E40" s="776"/>
      <c r="F40" s="777">
        <f>INT(F38+F39)</f>
        <v>12135</v>
      </c>
      <c r="G40" s="778"/>
    </row>
    <row r="41" spans="1:7" ht="27" customHeight="1">
      <c r="A41" s="779" t="s">
        <v>2206</v>
      </c>
      <c r="B41" s="780" t="s">
        <v>146</v>
      </c>
      <c r="C41" s="781">
        <v>1</v>
      </c>
      <c r="D41" s="782" t="s">
        <v>1221</v>
      </c>
      <c r="E41" s="768">
        <f>E21</f>
        <v>14455.6</v>
      </c>
      <c r="F41" s="768">
        <f>ROUNDDOWN(C41*E41,0)</f>
        <v>14455</v>
      </c>
      <c r="G41" s="783"/>
    </row>
    <row r="42" spans="1:7" ht="27" customHeight="1">
      <c r="A42" s="764"/>
      <c r="B42" s="782"/>
      <c r="C42" s="768"/>
      <c r="D42" s="782"/>
      <c r="E42" s="784"/>
      <c r="F42" s="768">
        <f>C42*E42</f>
        <v>0</v>
      </c>
      <c r="G42" s="783"/>
    </row>
    <row r="43" spans="1:7" ht="27" customHeight="1">
      <c r="A43" s="764"/>
      <c r="B43" s="770"/>
      <c r="C43" s="772"/>
      <c r="D43" s="770"/>
      <c r="E43" s="771"/>
      <c r="F43" s="768">
        <f>C43*E43</f>
        <v>0</v>
      </c>
      <c r="G43" s="773"/>
    </row>
    <row r="44" spans="1:7" ht="27" customHeight="1">
      <c r="A44" s="774"/>
      <c r="B44" s="775" t="s">
        <v>145</v>
      </c>
      <c r="C44" s="776"/>
      <c r="D44" s="775"/>
      <c r="E44" s="776"/>
      <c r="F44" s="777">
        <f>INT(F43+F42+F41)</f>
        <v>14455</v>
      </c>
      <c r="G44" s="778"/>
    </row>
    <row r="45" spans="1:7" ht="27" customHeight="1">
      <c r="A45" s="785" t="s">
        <v>2207</v>
      </c>
      <c r="B45" s="782" t="s">
        <v>147</v>
      </c>
      <c r="C45" s="786">
        <v>0.22939999999999999</v>
      </c>
      <c r="D45" s="782"/>
      <c r="E45" s="784">
        <v>16360</v>
      </c>
      <c r="F45" s="768">
        <f>ROUNDDOWN(C45*E45,1)</f>
        <v>3752.9</v>
      </c>
      <c r="G45" s="783"/>
    </row>
    <row r="46" spans="1:7" ht="27" customHeight="1">
      <c r="A46" s="787"/>
      <c r="B46" s="775" t="s">
        <v>145</v>
      </c>
      <c r="C46" s="776"/>
      <c r="D46" s="775"/>
      <c r="E46" s="776"/>
      <c r="F46" s="777">
        <f>INT(F45)</f>
        <v>3752</v>
      </c>
      <c r="G46" s="778"/>
    </row>
    <row r="47" spans="1:7" ht="27" customHeight="1">
      <c r="A47" s="788"/>
      <c r="B47" s="780"/>
      <c r="C47" s="789"/>
      <c r="D47" s="780"/>
      <c r="E47" s="789"/>
      <c r="F47" s="790"/>
      <c r="G47" s="791"/>
    </row>
    <row r="48" spans="1:7" ht="27" customHeight="1">
      <c r="A48" s="787"/>
      <c r="B48" s="770"/>
      <c r="C48" s="771"/>
      <c r="D48" s="770"/>
      <c r="E48" s="771"/>
      <c r="F48" s="771"/>
      <c r="G48" s="773"/>
    </row>
    <row r="49" spans="1:7" ht="27" customHeight="1" thickBot="1">
      <c r="A49" s="761" t="s">
        <v>148</v>
      </c>
      <c r="B49" s="762"/>
      <c r="C49" s="792"/>
      <c r="D49" s="762"/>
      <c r="E49" s="792"/>
      <c r="F49" s="793">
        <f>INT(F46+F44+F40)</f>
        <v>30342</v>
      </c>
      <c r="G49" s="794"/>
    </row>
    <row r="50" spans="1:7" ht="27" customHeight="1">
      <c r="A50" s="795"/>
      <c r="B50" s="795"/>
      <c r="C50" s="795"/>
      <c r="D50" s="795"/>
      <c r="E50" s="795"/>
      <c r="F50" s="795"/>
      <c r="G50" s="795"/>
    </row>
    <row r="51" spans="1:7" ht="27" customHeight="1">
      <c r="A51" s="795"/>
      <c r="B51" s="795"/>
      <c r="C51" s="795"/>
      <c r="D51" s="795"/>
      <c r="E51" s="795"/>
      <c r="F51" s="795"/>
      <c r="G51" s="795"/>
    </row>
    <row r="52" spans="1:7" ht="27" customHeight="1" thickBot="1">
      <c r="A52" s="1715"/>
      <c r="B52" s="1715"/>
      <c r="C52" s="1715"/>
      <c r="D52" s="1715"/>
      <c r="E52" s="795"/>
      <c r="F52" s="795"/>
      <c r="G52" s="795"/>
    </row>
    <row r="53" spans="1:7" ht="27" customHeight="1">
      <c r="A53" s="1711" t="s">
        <v>149</v>
      </c>
      <c r="B53" s="1712"/>
      <c r="C53" s="1712"/>
      <c r="D53" s="1712"/>
      <c r="E53" s="757"/>
      <c r="F53" s="757"/>
      <c r="G53" s="758"/>
    </row>
    <row r="54" spans="1:7" ht="27" customHeight="1">
      <c r="A54" s="1708" t="s">
        <v>150</v>
      </c>
      <c r="B54" s="1709"/>
      <c r="C54" s="1709"/>
      <c r="D54" s="1709"/>
      <c r="E54" s="760"/>
      <c r="F54" s="1713"/>
      <c r="G54" s="1714"/>
    </row>
    <row r="55" spans="1:7" ht="27" customHeight="1" thickBot="1">
      <c r="A55" s="761" t="s">
        <v>137</v>
      </c>
      <c r="B55" s="762" t="s">
        <v>138</v>
      </c>
      <c r="C55" s="762" t="s">
        <v>139</v>
      </c>
      <c r="D55" s="762" t="s">
        <v>140</v>
      </c>
      <c r="E55" s="762" t="s">
        <v>98</v>
      </c>
      <c r="F55" s="762" t="s">
        <v>141</v>
      </c>
      <c r="G55" s="796" t="s">
        <v>1262</v>
      </c>
    </row>
    <row r="56" spans="1:7" ht="27" customHeight="1">
      <c r="A56" s="764" t="s">
        <v>2205</v>
      </c>
      <c r="B56" s="765" t="s">
        <v>142</v>
      </c>
      <c r="C56" s="766">
        <v>5.0999999999999996</v>
      </c>
      <c r="D56" s="765" t="s">
        <v>143</v>
      </c>
      <c r="E56" s="767">
        <f>B15</f>
        <v>1124.95</v>
      </c>
      <c r="F56" s="768">
        <f>ROUNDDOWN(C56*E56,1)</f>
        <v>5737.2</v>
      </c>
      <c r="G56" s="769"/>
    </row>
    <row r="57" spans="1:7" ht="27" customHeight="1">
      <c r="A57" s="764"/>
      <c r="B57" s="770" t="s">
        <v>144</v>
      </c>
      <c r="C57" s="771">
        <v>20</v>
      </c>
      <c r="D57" s="770" t="s">
        <v>861</v>
      </c>
      <c r="E57" s="771"/>
      <c r="F57" s="772">
        <f>ROUNDDOWN(F56*0.2,1)</f>
        <v>1147.4000000000001</v>
      </c>
      <c r="G57" s="773"/>
    </row>
    <row r="58" spans="1:7" ht="27" customHeight="1">
      <c r="A58" s="774"/>
      <c r="B58" s="775" t="s">
        <v>145</v>
      </c>
      <c r="C58" s="776"/>
      <c r="D58" s="775"/>
      <c r="E58" s="776"/>
      <c r="F58" s="777">
        <f>INT(F56+F57)</f>
        <v>6884</v>
      </c>
      <c r="G58" s="778"/>
    </row>
    <row r="59" spans="1:7" ht="27" customHeight="1">
      <c r="A59" s="779" t="s">
        <v>2206</v>
      </c>
      <c r="B59" s="780" t="s">
        <v>127</v>
      </c>
      <c r="C59" s="781">
        <v>1</v>
      </c>
      <c r="D59" s="782" t="s">
        <v>1221</v>
      </c>
      <c r="E59" s="768">
        <f>E20</f>
        <v>16611.599999999999</v>
      </c>
      <c r="F59" s="768">
        <f>ROUNDDOWN(C59*E59,1)</f>
        <v>16611.599999999999</v>
      </c>
      <c r="G59" s="783"/>
    </row>
    <row r="60" spans="1:7" ht="27" customHeight="1">
      <c r="A60" s="764"/>
      <c r="B60" s="782"/>
      <c r="C60" s="768"/>
      <c r="D60" s="782"/>
      <c r="E60" s="784"/>
      <c r="F60" s="768">
        <f>C60*E60</f>
        <v>0</v>
      </c>
      <c r="G60" s="783"/>
    </row>
    <row r="61" spans="1:7" ht="27" customHeight="1">
      <c r="A61" s="764"/>
      <c r="B61" s="770"/>
      <c r="C61" s="772"/>
      <c r="D61" s="770"/>
      <c r="E61" s="771"/>
      <c r="F61" s="768">
        <f>C61*E61</f>
        <v>0</v>
      </c>
      <c r="G61" s="773"/>
    </row>
    <row r="62" spans="1:7" ht="27" customHeight="1">
      <c r="A62" s="774"/>
      <c r="B62" s="775" t="s">
        <v>145</v>
      </c>
      <c r="C62" s="776"/>
      <c r="D62" s="775"/>
      <c r="E62" s="776"/>
      <c r="F62" s="777">
        <f>INT(F61+F60+F59)</f>
        <v>16611</v>
      </c>
      <c r="G62" s="778"/>
    </row>
    <row r="63" spans="1:7" ht="27" customHeight="1">
      <c r="A63" s="785" t="s">
        <v>2207</v>
      </c>
      <c r="B63" s="782" t="s">
        <v>147</v>
      </c>
      <c r="C63" s="786">
        <v>0.25030000000000002</v>
      </c>
      <c r="D63" s="782"/>
      <c r="E63" s="784">
        <v>41399</v>
      </c>
      <c r="F63" s="768">
        <f>ROUNDDOWN(C63*E63,1)</f>
        <v>10362.1</v>
      </c>
      <c r="G63" s="783"/>
    </row>
    <row r="64" spans="1:7" ht="27" customHeight="1">
      <c r="A64" s="787"/>
      <c r="B64" s="775" t="s">
        <v>145</v>
      </c>
      <c r="C64" s="776"/>
      <c r="D64" s="775"/>
      <c r="E64" s="776"/>
      <c r="F64" s="777">
        <f>INT(F63)</f>
        <v>10362</v>
      </c>
      <c r="G64" s="778"/>
    </row>
    <row r="65" spans="1:7" ht="27" customHeight="1">
      <c r="A65" s="788"/>
      <c r="B65" s="780"/>
      <c r="C65" s="789"/>
      <c r="D65" s="780"/>
      <c r="E65" s="789"/>
      <c r="F65" s="790"/>
      <c r="G65" s="791"/>
    </row>
    <row r="66" spans="1:7" ht="27" customHeight="1">
      <c r="A66" s="787"/>
      <c r="B66" s="770"/>
      <c r="C66" s="771"/>
      <c r="D66" s="770"/>
      <c r="E66" s="771"/>
      <c r="F66" s="771"/>
      <c r="G66" s="773"/>
    </row>
    <row r="67" spans="1:7" ht="27" customHeight="1" thickBot="1">
      <c r="A67" s="761" t="s">
        <v>148</v>
      </c>
      <c r="B67" s="762"/>
      <c r="C67" s="792"/>
      <c r="D67" s="762"/>
      <c r="E67" s="792"/>
      <c r="F67" s="793">
        <f>INT(F64+F62+F58)</f>
        <v>33857</v>
      </c>
      <c r="G67" s="794"/>
    </row>
    <row r="68" spans="1:7" ht="27" customHeight="1" thickBot="1">
      <c r="A68" s="797"/>
      <c r="B68" s="797"/>
      <c r="C68" s="798"/>
      <c r="D68" s="797"/>
      <c r="E68" s="798"/>
      <c r="F68" s="799"/>
      <c r="G68" s="798"/>
    </row>
    <row r="69" spans="1:7" ht="27" customHeight="1">
      <c r="A69" s="1711" t="s">
        <v>151</v>
      </c>
      <c r="B69" s="1712"/>
      <c r="C69" s="1712"/>
      <c r="D69" s="1712"/>
      <c r="E69" s="728"/>
      <c r="F69" s="728"/>
      <c r="G69" s="800"/>
    </row>
    <row r="70" spans="1:7" ht="27" customHeight="1">
      <c r="A70" s="1708" t="s">
        <v>152</v>
      </c>
      <c r="B70" s="1709"/>
      <c r="C70" s="1709"/>
      <c r="D70" s="1709"/>
      <c r="E70" s="759"/>
      <c r="F70" s="1709"/>
      <c r="G70" s="1710"/>
    </row>
    <row r="71" spans="1:7" ht="27" customHeight="1" thickBot="1">
      <c r="A71" s="761" t="s">
        <v>137</v>
      </c>
      <c r="B71" s="762" t="s">
        <v>138</v>
      </c>
      <c r="C71" s="762" t="s">
        <v>139</v>
      </c>
      <c r="D71" s="762" t="s">
        <v>140</v>
      </c>
      <c r="E71" s="762" t="s">
        <v>98</v>
      </c>
      <c r="F71" s="762" t="s">
        <v>141</v>
      </c>
      <c r="G71" s="796" t="s">
        <v>1262</v>
      </c>
    </row>
    <row r="72" spans="1:7" ht="27" customHeight="1">
      <c r="A72" s="764" t="s">
        <v>2205</v>
      </c>
      <c r="B72" s="765" t="s">
        <v>153</v>
      </c>
      <c r="C72" s="766">
        <v>3.9</v>
      </c>
      <c r="D72" s="765" t="s">
        <v>143</v>
      </c>
      <c r="E72" s="767">
        <f>B14</f>
        <v>1135.22</v>
      </c>
      <c r="F72" s="768">
        <f>ROUNDDOWN(C72*E72,1)</f>
        <v>4427.3</v>
      </c>
      <c r="G72" s="769"/>
    </row>
    <row r="73" spans="1:7" ht="27" customHeight="1">
      <c r="A73" s="764"/>
      <c r="B73" s="770" t="s">
        <v>154</v>
      </c>
      <c r="C73" s="771">
        <v>2</v>
      </c>
      <c r="D73" s="770" t="s">
        <v>861</v>
      </c>
      <c r="E73" s="771"/>
      <c r="F73" s="772">
        <f>ROUNDDOWN(F72*0.02,1)</f>
        <v>88.5</v>
      </c>
      <c r="G73" s="773"/>
    </row>
    <row r="74" spans="1:7" ht="27" customHeight="1">
      <c r="A74" s="774"/>
      <c r="B74" s="775" t="s">
        <v>145</v>
      </c>
      <c r="C74" s="776"/>
      <c r="D74" s="775"/>
      <c r="E74" s="776"/>
      <c r="F74" s="777">
        <f>INT(F72+F73)</f>
        <v>4515</v>
      </c>
      <c r="G74" s="778"/>
    </row>
    <row r="75" spans="1:7" ht="27" customHeight="1">
      <c r="A75" s="785" t="s">
        <v>2206</v>
      </c>
      <c r="B75" s="780" t="s">
        <v>146</v>
      </c>
      <c r="C75" s="781">
        <v>1</v>
      </c>
      <c r="D75" s="782" t="s">
        <v>1221</v>
      </c>
      <c r="E75" s="768">
        <f>E21</f>
        <v>14455.6</v>
      </c>
      <c r="F75" s="768">
        <f>ROUNDDOWN(C75*E75,1)</f>
        <v>14455.6</v>
      </c>
      <c r="G75" s="783"/>
    </row>
    <row r="76" spans="1:7" ht="27" customHeight="1">
      <c r="A76" s="764"/>
      <c r="B76" s="782"/>
      <c r="C76" s="768"/>
      <c r="D76" s="782"/>
      <c r="E76" s="784"/>
      <c r="F76" s="768">
        <f>C76*E76</f>
        <v>0</v>
      </c>
      <c r="G76" s="783"/>
    </row>
    <row r="77" spans="1:7" ht="27" customHeight="1">
      <c r="A77" s="764"/>
      <c r="B77" s="770"/>
      <c r="C77" s="772"/>
      <c r="D77" s="770"/>
      <c r="E77" s="771"/>
      <c r="F77" s="768">
        <f>C77*E77</f>
        <v>0</v>
      </c>
      <c r="G77" s="773"/>
    </row>
    <row r="78" spans="1:7" ht="27" customHeight="1">
      <c r="A78" s="774"/>
      <c r="B78" s="775" t="s">
        <v>145</v>
      </c>
      <c r="C78" s="776"/>
      <c r="D78" s="775"/>
      <c r="E78" s="776"/>
      <c r="F78" s="777">
        <f>INT(F77+F76+F75)</f>
        <v>14455</v>
      </c>
      <c r="G78" s="778"/>
    </row>
    <row r="79" spans="1:7" ht="27" customHeight="1">
      <c r="A79" s="785" t="s">
        <v>2207</v>
      </c>
      <c r="B79" s="782" t="s">
        <v>147</v>
      </c>
      <c r="C79" s="786">
        <v>0.29709999999999998</v>
      </c>
      <c r="D79" s="782"/>
      <c r="E79" s="784">
        <v>17592</v>
      </c>
      <c r="F79" s="768">
        <f>ROUNDDOWN(C79*E79,1)</f>
        <v>5226.5</v>
      </c>
      <c r="G79" s="783"/>
    </row>
    <row r="80" spans="1:7" ht="27" customHeight="1">
      <c r="A80" s="787"/>
      <c r="B80" s="775" t="s">
        <v>145</v>
      </c>
      <c r="C80" s="776"/>
      <c r="D80" s="775"/>
      <c r="E80" s="776"/>
      <c r="F80" s="777">
        <f>INT(F79)</f>
        <v>5226</v>
      </c>
      <c r="G80" s="778"/>
    </row>
    <row r="81" spans="1:7" ht="27" customHeight="1">
      <c r="A81" s="788"/>
      <c r="B81" s="780"/>
      <c r="C81" s="789"/>
      <c r="D81" s="780"/>
      <c r="E81" s="789"/>
      <c r="F81" s="790"/>
      <c r="G81" s="791"/>
    </row>
    <row r="82" spans="1:7" ht="27" customHeight="1">
      <c r="A82" s="787"/>
      <c r="B82" s="770"/>
      <c r="C82" s="771"/>
      <c r="D82" s="770"/>
      <c r="E82" s="771"/>
      <c r="F82" s="771"/>
      <c r="G82" s="773"/>
    </row>
    <row r="83" spans="1:7" ht="27" customHeight="1" thickBot="1">
      <c r="A83" s="761" t="s">
        <v>148</v>
      </c>
      <c r="B83" s="762"/>
      <c r="C83" s="792"/>
      <c r="D83" s="762"/>
      <c r="E83" s="792"/>
      <c r="F83" s="793">
        <f>INT(F80+F78+F74)</f>
        <v>24196</v>
      </c>
      <c r="G83" s="794"/>
    </row>
    <row r="84" spans="1:7" ht="27" customHeight="1">
      <c r="A84" s="795"/>
      <c r="B84" s="795"/>
      <c r="C84" s="795"/>
      <c r="D84" s="795"/>
      <c r="E84" s="795"/>
      <c r="F84" s="795"/>
      <c r="G84" s="795"/>
    </row>
    <row r="85" spans="1:7" ht="27" customHeight="1">
      <c r="A85" s="795"/>
      <c r="B85" s="795"/>
      <c r="C85" s="795"/>
      <c r="D85" s="795"/>
      <c r="E85" s="795"/>
      <c r="F85" s="795"/>
      <c r="G85" s="795"/>
    </row>
    <row r="86" spans="1:7" ht="27" customHeight="1" thickBot="1">
      <c r="A86" s="795"/>
      <c r="B86" s="795"/>
      <c r="C86" s="795"/>
      <c r="D86" s="795"/>
      <c r="E86" s="795"/>
      <c r="F86" s="795"/>
      <c r="G86" s="795"/>
    </row>
    <row r="87" spans="1:7" ht="27" customHeight="1">
      <c r="A87" s="1711" t="s">
        <v>155</v>
      </c>
      <c r="B87" s="1712"/>
      <c r="C87" s="1712"/>
      <c r="D87" s="1712"/>
      <c r="E87" s="728"/>
      <c r="F87" s="728"/>
      <c r="G87" s="800"/>
    </row>
    <row r="88" spans="1:7" ht="27" customHeight="1">
      <c r="A88" s="1708" t="s">
        <v>156</v>
      </c>
      <c r="B88" s="1709"/>
      <c r="C88" s="1709"/>
      <c r="D88" s="1709"/>
      <c r="E88" s="759"/>
      <c r="F88" s="1709"/>
      <c r="G88" s="1710"/>
    </row>
    <row r="89" spans="1:7" ht="27" customHeight="1" thickBot="1">
      <c r="A89" s="761" t="s">
        <v>137</v>
      </c>
      <c r="B89" s="762" t="s">
        <v>138</v>
      </c>
      <c r="C89" s="762" t="s">
        <v>139</v>
      </c>
      <c r="D89" s="762" t="s">
        <v>140</v>
      </c>
      <c r="E89" s="762" t="s">
        <v>98</v>
      </c>
      <c r="F89" s="762" t="s">
        <v>141</v>
      </c>
      <c r="G89" s="796" t="s">
        <v>1262</v>
      </c>
    </row>
    <row r="90" spans="1:7" ht="27" customHeight="1">
      <c r="A90" s="764" t="s">
        <v>2205</v>
      </c>
      <c r="B90" s="765" t="s">
        <v>142</v>
      </c>
      <c r="C90" s="766">
        <v>7.6</v>
      </c>
      <c r="D90" s="765" t="s">
        <v>143</v>
      </c>
      <c r="E90" s="767">
        <f>B15</f>
        <v>1124.95</v>
      </c>
      <c r="F90" s="768">
        <f>ROUNDDOWN(C90*E90,1)</f>
        <v>8549.6</v>
      </c>
      <c r="G90" s="769"/>
    </row>
    <row r="91" spans="1:7" ht="27" customHeight="1">
      <c r="A91" s="764"/>
      <c r="B91" s="770" t="s">
        <v>144</v>
      </c>
      <c r="C91" s="771">
        <v>16</v>
      </c>
      <c r="D91" s="770" t="s">
        <v>861</v>
      </c>
      <c r="E91" s="771"/>
      <c r="F91" s="772">
        <f>ROUNDDOWN(F90*0.16,1)</f>
        <v>1367.9</v>
      </c>
      <c r="G91" s="773"/>
    </row>
    <row r="92" spans="1:7" ht="27" customHeight="1">
      <c r="A92" s="774"/>
      <c r="B92" s="775" t="s">
        <v>145</v>
      </c>
      <c r="C92" s="776"/>
      <c r="D92" s="775"/>
      <c r="E92" s="776"/>
      <c r="F92" s="777">
        <f>INT(F90+F91)</f>
        <v>9917</v>
      </c>
      <c r="G92" s="778"/>
    </row>
    <row r="93" spans="1:7" ht="27" customHeight="1">
      <c r="A93" s="785" t="s">
        <v>2206</v>
      </c>
      <c r="B93" s="782"/>
      <c r="C93" s="784"/>
      <c r="D93" s="782"/>
      <c r="E93" s="784"/>
      <c r="F93" s="768">
        <f>ROUNDDOWN(C93*E93,1)</f>
        <v>0</v>
      </c>
      <c r="G93" s="783"/>
    </row>
    <row r="94" spans="1:7" ht="27" customHeight="1">
      <c r="A94" s="764"/>
      <c r="B94" s="782"/>
      <c r="C94" s="768"/>
      <c r="D94" s="782"/>
      <c r="E94" s="784"/>
      <c r="F94" s="768">
        <f>C94*E94</f>
        <v>0</v>
      </c>
      <c r="G94" s="783"/>
    </row>
    <row r="95" spans="1:7" ht="27" customHeight="1">
      <c r="A95" s="764"/>
      <c r="B95" s="770"/>
      <c r="C95" s="772"/>
      <c r="D95" s="770"/>
      <c r="E95" s="771"/>
      <c r="F95" s="768">
        <f>C95*E95</f>
        <v>0</v>
      </c>
      <c r="G95" s="773"/>
    </row>
    <row r="96" spans="1:7" ht="27" customHeight="1">
      <c r="A96" s="774"/>
      <c r="B96" s="775" t="s">
        <v>145</v>
      </c>
      <c r="C96" s="776"/>
      <c r="D96" s="775"/>
      <c r="E96" s="776"/>
      <c r="F96" s="777">
        <f>INT(F95+F94+F93)</f>
        <v>0</v>
      </c>
      <c r="G96" s="778"/>
    </row>
    <row r="97" spans="1:7" ht="27" customHeight="1">
      <c r="A97" s="785" t="s">
        <v>2207</v>
      </c>
      <c r="B97" s="782" t="s">
        <v>147</v>
      </c>
      <c r="C97" s="786">
        <v>0.27310000000000001</v>
      </c>
      <c r="D97" s="782"/>
      <c r="E97" s="784">
        <v>3852</v>
      </c>
      <c r="F97" s="768">
        <f>ROUNDDOWN(C97*E97,1)</f>
        <v>1051.9000000000001</v>
      </c>
      <c r="G97" s="783"/>
    </row>
    <row r="98" spans="1:7" ht="27" customHeight="1">
      <c r="A98" s="787"/>
      <c r="B98" s="775" t="s">
        <v>145</v>
      </c>
      <c r="C98" s="776"/>
      <c r="D98" s="775"/>
      <c r="E98" s="776"/>
      <c r="F98" s="777">
        <f>INT(F97)</f>
        <v>1051</v>
      </c>
      <c r="G98" s="778"/>
    </row>
    <row r="99" spans="1:7" ht="27" customHeight="1">
      <c r="A99" s="788"/>
      <c r="B99" s="780"/>
      <c r="C99" s="789"/>
      <c r="D99" s="780"/>
      <c r="E99" s="789"/>
      <c r="F99" s="790"/>
      <c r="G99" s="791"/>
    </row>
    <row r="100" spans="1:7" ht="27" customHeight="1">
      <c r="A100" s="787"/>
      <c r="B100" s="770"/>
      <c r="C100" s="771"/>
      <c r="D100" s="770"/>
      <c r="E100" s="771"/>
      <c r="F100" s="771"/>
      <c r="G100" s="773"/>
    </row>
    <row r="101" spans="1:7" ht="27" customHeight="1" thickBot="1">
      <c r="A101" s="761" t="s">
        <v>148</v>
      </c>
      <c r="B101" s="762"/>
      <c r="C101" s="792"/>
      <c r="D101" s="762"/>
      <c r="E101" s="792"/>
      <c r="F101" s="793">
        <f>INT(F98+F96+F92)</f>
        <v>10968</v>
      </c>
      <c r="G101" s="794"/>
    </row>
    <row r="102" spans="1:7" ht="27" customHeight="1" thickBot="1">
      <c r="A102" s="797"/>
      <c r="B102" s="797"/>
      <c r="C102" s="798"/>
      <c r="D102" s="797"/>
      <c r="E102" s="798"/>
      <c r="F102" s="799"/>
      <c r="G102" s="798"/>
    </row>
    <row r="103" spans="1:7" ht="27" customHeight="1">
      <c r="A103" s="1711" t="s">
        <v>157</v>
      </c>
      <c r="B103" s="1712"/>
      <c r="C103" s="1712"/>
      <c r="D103" s="1712"/>
      <c r="E103" s="757"/>
      <c r="F103" s="757"/>
      <c r="G103" s="758"/>
    </row>
    <row r="104" spans="1:7" ht="27" customHeight="1">
      <c r="A104" s="1708" t="s">
        <v>158</v>
      </c>
      <c r="B104" s="1709"/>
      <c r="C104" s="1709"/>
      <c r="D104" s="1709"/>
      <c r="E104" s="760"/>
      <c r="F104" s="1713"/>
      <c r="G104" s="1714"/>
    </row>
    <row r="105" spans="1:7" ht="27" customHeight="1" thickBot="1">
      <c r="A105" s="761" t="s">
        <v>137</v>
      </c>
      <c r="B105" s="762" t="s">
        <v>138</v>
      </c>
      <c r="C105" s="762" t="s">
        <v>139</v>
      </c>
      <c r="D105" s="762" t="s">
        <v>140</v>
      </c>
      <c r="E105" s="762" t="s">
        <v>98</v>
      </c>
      <c r="F105" s="762" t="s">
        <v>141</v>
      </c>
      <c r="G105" s="796" t="s">
        <v>1262</v>
      </c>
    </row>
    <row r="106" spans="1:7" ht="27" customHeight="1">
      <c r="A106" s="764" t="s">
        <v>2205</v>
      </c>
      <c r="B106" s="765" t="s">
        <v>142</v>
      </c>
      <c r="C106" s="766">
        <v>9.3000000000000007</v>
      </c>
      <c r="D106" s="765" t="s">
        <v>143</v>
      </c>
      <c r="E106" s="767">
        <f>B15</f>
        <v>1124.95</v>
      </c>
      <c r="F106" s="768">
        <f>ROUNDDOWN(C106*E106,1)</f>
        <v>10462</v>
      </c>
      <c r="G106" s="769"/>
    </row>
    <row r="107" spans="1:7" ht="27" customHeight="1">
      <c r="A107" s="764"/>
      <c r="B107" s="770" t="s">
        <v>144</v>
      </c>
      <c r="C107" s="771">
        <v>30</v>
      </c>
      <c r="D107" s="770" t="s">
        <v>861</v>
      </c>
      <c r="E107" s="771"/>
      <c r="F107" s="772">
        <f>ROUNDDOWN(F106*0.3,1)</f>
        <v>3138.6</v>
      </c>
      <c r="G107" s="773"/>
    </row>
    <row r="108" spans="1:7" ht="27" customHeight="1">
      <c r="A108" s="774"/>
      <c r="B108" s="775" t="s">
        <v>145</v>
      </c>
      <c r="C108" s="776"/>
      <c r="D108" s="775"/>
      <c r="E108" s="776"/>
      <c r="F108" s="777">
        <f>INT(F106+F107)</f>
        <v>13600</v>
      </c>
      <c r="G108" s="778"/>
    </row>
    <row r="109" spans="1:7" ht="27" customHeight="1">
      <c r="A109" s="785" t="s">
        <v>2206</v>
      </c>
      <c r="B109" s="780" t="s">
        <v>127</v>
      </c>
      <c r="C109" s="781">
        <v>1</v>
      </c>
      <c r="D109" s="782" t="s">
        <v>1221</v>
      </c>
      <c r="E109" s="768">
        <f>E20</f>
        <v>16611.599999999999</v>
      </c>
      <c r="F109" s="768">
        <f>ROUNDDOWN(C109*E109,1)</f>
        <v>16611.599999999999</v>
      </c>
      <c r="G109" s="783"/>
    </row>
    <row r="110" spans="1:7" ht="27" customHeight="1">
      <c r="A110" s="764"/>
      <c r="B110" s="782"/>
      <c r="C110" s="768"/>
      <c r="D110" s="782"/>
      <c r="E110" s="784"/>
      <c r="F110" s="768">
        <f>C110*E110</f>
        <v>0</v>
      </c>
      <c r="G110" s="783"/>
    </row>
    <row r="111" spans="1:7" ht="27" customHeight="1">
      <c r="A111" s="764"/>
      <c r="B111" s="770"/>
      <c r="C111" s="772"/>
      <c r="D111" s="770"/>
      <c r="E111" s="771"/>
      <c r="F111" s="768">
        <f>C111*E111</f>
        <v>0</v>
      </c>
      <c r="G111" s="773"/>
    </row>
    <row r="112" spans="1:7" ht="27" customHeight="1">
      <c r="A112" s="774"/>
      <c r="B112" s="775" t="s">
        <v>145</v>
      </c>
      <c r="C112" s="776"/>
      <c r="D112" s="775"/>
      <c r="E112" s="776"/>
      <c r="F112" s="777">
        <f>INT(F111+F110+F109)</f>
        <v>16611</v>
      </c>
      <c r="G112" s="778"/>
    </row>
    <row r="113" spans="1:7" ht="27" customHeight="1">
      <c r="A113" s="785" t="s">
        <v>2207</v>
      </c>
      <c r="B113" s="782" t="s">
        <v>147</v>
      </c>
      <c r="C113" s="786">
        <v>0.20449999999999999</v>
      </c>
      <c r="D113" s="782"/>
      <c r="E113" s="784">
        <v>38257</v>
      </c>
      <c r="F113" s="768">
        <f>ROUNDDOWN(C113*E113,1)</f>
        <v>7823.5</v>
      </c>
      <c r="G113" s="783"/>
    </row>
    <row r="114" spans="1:7" ht="27" customHeight="1">
      <c r="A114" s="787"/>
      <c r="B114" s="775" t="s">
        <v>145</v>
      </c>
      <c r="C114" s="776"/>
      <c r="D114" s="775"/>
      <c r="E114" s="776"/>
      <c r="F114" s="777">
        <f>INT(F113)</f>
        <v>7823</v>
      </c>
      <c r="G114" s="778"/>
    </row>
    <row r="115" spans="1:7" ht="27" customHeight="1">
      <c r="A115" s="788"/>
      <c r="B115" s="780"/>
      <c r="C115" s="789"/>
      <c r="D115" s="780"/>
      <c r="E115" s="789"/>
      <c r="F115" s="790"/>
      <c r="G115" s="791"/>
    </row>
    <row r="116" spans="1:7" ht="27" customHeight="1">
      <c r="A116" s="787"/>
      <c r="B116" s="770"/>
      <c r="C116" s="771"/>
      <c r="D116" s="770"/>
      <c r="E116" s="771"/>
      <c r="F116" s="771"/>
      <c r="G116" s="773"/>
    </row>
    <row r="117" spans="1:7" ht="27" customHeight="1" thickBot="1">
      <c r="A117" s="761" t="s">
        <v>148</v>
      </c>
      <c r="B117" s="762"/>
      <c r="C117" s="792"/>
      <c r="D117" s="762"/>
      <c r="E117" s="792"/>
      <c r="F117" s="793">
        <f>INT(F114+F112+F108)</f>
        <v>38034</v>
      </c>
      <c r="G117" s="794"/>
    </row>
    <row r="118" spans="1:7" ht="27" customHeight="1">
      <c r="A118" s="795"/>
      <c r="B118" s="795"/>
      <c r="C118" s="795"/>
      <c r="D118" s="795"/>
      <c r="E118" s="795"/>
      <c r="F118" s="795"/>
      <c r="G118" s="795"/>
    </row>
    <row r="119" spans="1:7" ht="27" customHeight="1">
      <c r="A119" s="795"/>
      <c r="B119" s="795"/>
      <c r="C119" s="795"/>
      <c r="D119" s="795"/>
      <c r="E119" s="795"/>
      <c r="F119" s="795"/>
      <c r="G119" s="795"/>
    </row>
    <row r="120" spans="1:7" ht="27" customHeight="1" thickBot="1">
      <c r="A120" s="795"/>
      <c r="B120" s="795"/>
      <c r="C120" s="795"/>
      <c r="D120" s="795"/>
      <c r="E120" s="795"/>
      <c r="F120" s="795"/>
      <c r="G120" s="795"/>
    </row>
    <row r="121" spans="1:7" ht="27" customHeight="1">
      <c r="A121" s="1711" t="s">
        <v>159</v>
      </c>
      <c r="B121" s="1712"/>
      <c r="C121" s="1712"/>
      <c r="D121" s="1712"/>
      <c r="E121" s="728"/>
      <c r="F121" s="728"/>
      <c r="G121" s="800"/>
    </row>
    <row r="122" spans="1:7" ht="27" customHeight="1">
      <c r="A122" s="1708" t="s">
        <v>160</v>
      </c>
      <c r="B122" s="1709"/>
      <c r="C122" s="1709"/>
      <c r="D122" s="1709"/>
      <c r="E122" s="759"/>
      <c r="F122" s="1709"/>
      <c r="G122" s="1710"/>
    </row>
    <row r="123" spans="1:7" ht="27" customHeight="1" thickBot="1">
      <c r="A123" s="761" t="s">
        <v>137</v>
      </c>
      <c r="B123" s="762" t="s">
        <v>138</v>
      </c>
      <c r="C123" s="762" t="s">
        <v>139</v>
      </c>
      <c r="D123" s="762" t="s">
        <v>140</v>
      </c>
      <c r="E123" s="762" t="s">
        <v>98</v>
      </c>
      <c r="F123" s="762" t="s">
        <v>141</v>
      </c>
      <c r="G123" s="796" t="s">
        <v>1262</v>
      </c>
    </row>
    <row r="124" spans="1:7" ht="27" customHeight="1">
      <c r="A124" s="764" t="s">
        <v>2205</v>
      </c>
      <c r="B124" s="765"/>
      <c r="C124" s="766"/>
      <c r="D124" s="765"/>
      <c r="E124" s="766"/>
      <c r="F124" s="768">
        <f>ROUNDDOWN(C124*E124,1)</f>
        <v>0</v>
      </c>
      <c r="G124" s="769"/>
    </row>
    <row r="125" spans="1:7" ht="27" customHeight="1">
      <c r="A125" s="764"/>
      <c r="B125" s="770"/>
      <c r="C125" s="771"/>
      <c r="D125" s="770"/>
      <c r="E125" s="771"/>
      <c r="F125" s="772">
        <f>ROUNDDOWN(F124*0.2,1)</f>
        <v>0</v>
      </c>
      <c r="G125" s="773"/>
    </row>
    <row r="126" spans="1:7" ht="27" customHeight="1">
      <c r="A126" s="774"/>
      <c r="B126" s="775" t="s">
        <v>145</v>
      </c>
      <c r="C126" s="776"/>
      <c r="D126" s="775"/>
      <c r="E126" s="776"/>
      <c r="F126" s="777">
        <f>INT(F124+F125)</f>
        <v>0</v>
      </c>
      <c r="G126" s="778"/>
    </row>
    <row r="127" spans="1:7" ht="27" customHeight="1">
      <c r="A127" s="785" t="s">
        <v>2206</v>
      </c>
      <c r="B127" s="782"/>
      <c r="C127" s="784"/>
      <c r="D127" s="782"/>
      <c r="E127" s="784"/>
      <c r="F127" s="768">
        <f>ROUNDDOWN(C127*E127,1)</f>
        <v>0</v>
      </c>
      <c r="G127" s="783"/>
    </row>
    <row r="128" spans="1:7" ht="27" customHeight="1">
      <c r="A128" s="764"/>
      <c r="B128" s="782"/>
      <c r="C128" s="768"/>
      <c r="D128" s="782"/>
      <c r="E128" s="784"/>
      <c r="F128" s="768">
        <f>C128*E128</f>
        <v>0</v>
      </c>
      <c r="G128" s="783"/>
    </row>
    <row r="129" spans="1:7" ht="27" customHeight="1">
      <c r="A129" s="764"/>
      <c r="B129" s="770"/>
      <c r="C129" s="772"/>
      <c r="D129" s="770"/>
      <c r="E129" s="771"/>
      <c r="F129" s="768">
        <f>C129*E129</f>
        <v>0</v>
      </c>
      <c r="G129" s="773"/>
    </row>
    <row r="130" spans="1:7" ht="27" customHeight="1">
      <c r="A130" s="774"/>
      <c r="B130" s="775" t="s">
        <v>145</v>
      </c>
      <c r="C130" s="776"/>
      <c r="D130" s="775"/>
      <c r="E130" s="776"/>
      <c r="F130" s="777">
        <f>INT(F129+F128+F127)</f>
        <v>0</v>
      </c>
      <c r="G130" s="778"/>
    </row>
    <row r="131" spans="1:7" ht="27" customHeight="1">
      <c r="A131" s="785" t="s">
        <v>2207</v>
      </c>
      <c r="B131" s="782" t="s">
        <v>147</v>
      </c>
      <c r="C131" s="786">
        <v>0.43459999999999999</v>
      </c>
      <c r="D131" s="782"/>
      <c r="E131" s="784">
        <v>4900</v>
      </c>
      <c r="F131" s="768">
        <f>ROUNDDOWN(C131*E131,1)</f>
        <v>2129.5</v>
      </c>
      <c r="G131" s="783"/>
    </row>
    <row r="132" spans="1:7" ht="27" customHeight="1">
      <c r="A132" s="787"/>
      <c r="B132" s="775" t="s">
        <v>145</v>
      </c>
      <c r="C132" s="776"/>
      <c r="D132" s="775"/>
      <c r="E132" s="776"/>
      <c r="F132" s="777">
        <f>INT(F131)</f>
        <v>2129</v>
      </c>
      <c r="G132" s="778"/>
    </row>
    <row r="133" spans="1:7" ht="27" customHeight="1">
      <c r="A133" s="788"/>
      <c r="B133" s="780"/>
      <c r="C133" s="789"/>
      <c r="D133" s="780"/>
      <c r="E133" s="789"/>
      <c r="F133" s="790"/>
      <c r="G133" s="791"/>
    </row>
    <row r="134" spans="1:7" ht="27" customHeight="1">
      <c r="A134" s="787"/>
      <c r="B134" s="770"/>
      <c r="C134" s="771"/>
      <c r="D134" s="770"/>
      <c r="E134" s="771"/>
      <c r="F134" s="771"/>
      <c r="G134" s="773"/>
    </row>
    <row r="135" spans="1:7" ht="27" customHeight="1" thickBot="1">
      <c r="A135" s="761" t="s">
        <v>148</v>
      </c>
      <c r="B135" s="762"/>
      <c r="C135" s="792"/>
      <c r="D135" s="762"/>
      <c r="E135" s="792"/>
      <c r="F135" s="793">
        <f>INT(F132+F130+F126)</f>
        <v>2129</v>
      </c>
      <c r="G135" s="794"/>
    </row>
    <row r="136" spans="1:7" ht="27" customHeight="1"/>
    <row r="137" spans="1:7" ht="27" customHeight="1"/>
  </sheetData>
  <mergeCells count="21">
    <mergeCell ref="A52:D52"/>
    <mergeCell ref="A4:G5"/>
    <mergeCell ref="A18:B18"/>
    <mergeCell ref="A35:D35"/>
    <mergeCell ref="A36:D36"/>
    <mergeCell ref="F36:G36"/>
    <mergeCell ref="A70:D70"/>
    <mergeCell ref="F70:G70"/>
    <mergeCell ref="A87:D87"/>
    <mergeCell ref="A121:D121"/>
    <mergeCell ref="A53:D53"/>
    <mergeCell ref="A54:D54"/>
    <mergeCell ref="F54:G54"/>
    <mergeCell ref="A69:D69"/>
    <mergeCell ref="A122:D122"/>
    <mergeCell ref="F122:G122"/>
    <mergeCell ref="A88:D88"/>
    <mergeCell ref="F88:G88"/>
    <mergeCell ref="A103:D103"/>
    <mergeCell ref="A104:D104"/>
    <mergeCell ref="F104:G104"/>
  </mergeCells>
  <phoneticPr fontId="3" type="noConversion"/>
  <pageMargins left="0.75" right="0.52" top="1" bottom="1" header="0.5" footer="0.5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8"/>
  <sheetViews>
    <sheetView zoomScale="75" workbookViewId="0">
      <selection activeCell="E67" sqref="E67"/>
    </sheetView>
  </sheetViews>
  <sheetFormatPr defaultRowHeight="13.5"/>
  <cols>
    <col min="1" max="1" width="35.77734375" customWidth="1"/>
    <col min="2" max="2" width="25.77734375" customWidth="1"/>
    <col min="3" max="4" width="10.77734375" customWidth="1"/>
    <col min="5" max="8" width="18.77734375" customWidth="1"/>
    <col min="9" max="9" width="20.77734375" customWidth="1"/>
  </cols>
  <sheetData>
    <row r="1" spans="1:9" ht="50.1" customHeight="1" thickBot="1">
      <c r="A1" s="1721" t="s">
        <v>161</v>
      </c>
      <c r="B1" s="1721"/>
      <c r="C1" s="1721"/>
      <c r="D1" s="1721"/>
      <c r="E1" s="1721"/>
      <c r="F1" s="1721"/>
      <c r="G1" s="1721"/>
      <c r="H1" s="1721"/>
      <c r="I1" s="1721"/>
    </row>
    <row r="2" spans="1:9" ht="36" customHeight="1" thickBot="1">
      <c r="A2" s="801" t="s">
        <v>162</v>
      </c>
      <c r="B2" s="802" t="s">
        <v>163</v>
      </c>
      <c r="C2" s="802" t="s">
        <v>140</v>
      </c>
      <c r="D2" s="802" t="s">
        <v>164</v>
      </c>
      <c r="E2" s="802" t="s">
        <v>165</v>
      </c>
      <c r="F2" s="802" t="s">
        <v>166</v>
      </c>
      <c r="G2" s="802" t="s">
        <v>167</v>
      </c>
      <c r="H2" s="802" t="s">
        <v>168</v>
      </c>
      <c r="I2" s="803" t="s">
        <v>169</v>
      </c>
    </row>
    <row r="3" spans="1:9" ht="36" customHeight="1" thickTop="1">
      <c r="A3" s="804" t="s">
        <v>170</v>
      </c>
      <c r="B3" s="805" t="s">
        <v>723</v>
      </c>
      <c r="C3" s="805" t="s">
        <v>843</v>
      </c>
      <c r="D3" s="806">
        <v>1</v>
      </c>
      <c r="E3" s="806">
        <f ca="1">'020-ASNA-중기산출근거'!F40</f>
        <v>12135</v>
      </c>
      <c r="F3" s="806">
        <f ca="1">'020-ASNA-중기산출근거'!F44</f>
        <v>14455</v>
      </c>
      <c r="G3" s="806">
        <f ca="1">'020-ASNA-중기산출근거'!F46</f>
        <v>3752</v>
      </c>
      <c r="H3" s="806">
        <f t="shared" ref="H3:H8" si="0">INT(E3+F3+G3)</f>
        <v>30342</v>
      </c>
      <c r="I3" s="807"/>
    </row>
    <row r="4" spans="1:9" ht="36" customHeight="1">
      <c r="A4" s="808" t="s">
        <v>171</v>
      </c>
      <c r="B4" s="809" t="s">
        <v>1259</v>
      </c>
      <c r="C4" s="809" t="s">
        <v>843</v>
      </c>
      <c r="D4" s="810">
        <v>1</v>
      </c>
      <c r="E4" s="810">
        <f ca="1">'020-ASNA-중기산출근거'!F58</f>
        <v>6884</v>
      </c>
      <c r="F4" s="810">
        <f ca="1">'020-ASNA-중기산출근거'!F62</f>
        <v>16611</v>
      </c>
      <c r="G4" s="810">
        <f ca="1">'020-ASNA-중기산출근거'!F64</f>
        <v>10362</v>
      </c>
      <c r="H4" s="810">
        <f t="shared" si="0"/>
        <v>33857</v>
      </c>
      <c r="I4" s="811"/>
    </row>
    <row r="5" spans="1:9" ht="36" customHeight="1">
      <c r="A5" s="808" t="s">
        <v>172</v>
      </c>
      <c r="B5" s="809" t="s">
        <v>1610</v>
      </c>
      <c r="C5" s="809" t="s">
        <v>843</v>
      </c>
      <c r="D5" s="810">
        <v>1</v>
      </c>
      <c r="E5" s="810">
        <f ca="1">'020-ASNA-중기산출근거'!F74</f>
        <v>4515</v>
      </c>
      <c r="F5" s="810">
        <f ca="1">'020-ASNA-중기산출근거'!F78</f>
        <v>14455</v>
      </c>
      <c r="G5" s="810">
        <f ca="1">'020-ASNA-중기산출근거'!F80</f>
        <v>5226</v>
      </c>
      <c r="H5" s="810">
        <f t="shared" si="0"/>
        <v>24196</v>
      </c>
      <c r="I5" s="811"/>
    </row>
    <row r="6" spans="1:9" ht="36" customHeight="1">
      <c r="A6" s="808" t="s">
        <v>173</v>
      </c>
      <c r="B6" s="809" t="s">
        <v>707</v>
      </c>
      <c r="C6" s="809" t="s">
        <v>843</v>
      </c>
      <c r="D6" s="810">
        <v>1</v>
      </c>
      <c r="E6" s="810">
        <f ca="1">'020-ASNA-중기산출근거'!F92</f>
        <v>9917</v>
      </c>
      <c r="F6" s="810"/>
      <c r="G6" s="810">
        <f ca="1">'020-ASNA-중기산출근거'!F98</f>
        <v>1051</v>
      </c>
      <c r="H6" s="810">
        <f t="shared" si="0"/>
        <v>10968</v>
      </c>
      <c r="I6" s="811"/>
    </row>
    <row r="7" spans="1:9" ht="36" customHeight="1">
      <c r="A7" s="808" t="s">
        <v>174</v>
      </c>
      <c r="B7" s="809" t="s">
        <v>709</v>
      </c>
      <c r="C7" s="809" t="s">
        <v>843</v>
      </c>
      <c r="D7" s="810">
        <v>1</v>
      </c>
      <c r="E7" s="810">
        <f ca="1">'020-ASNA-중기산출근거'!F108</f>
        <v>13600</v>
      </c>
      <c r="F7" s="810">
        <f ca="1">'020-ASNA-중기산출근거'!F112</f>
        <v>16611</v>
      </c>
      <c r="G7" s="810">
        <f ca="1">'020-ASNA-중기산출근거'!F114</f>
        <v>7823</v>
      </c>
      <c r="H7" s="810">
        <f t="shared" si="0"/>
        <v>38034</v>
      </c>
      <c r="I7" s="811"/>
    </row>
    <row r="8" spans="1:9" ht="36" customHeight="1" thickBot="1">
      <c r="A8" s="812" t="s">
        <v>175</v>
      </c>
      <c r="B8" s="813" t="s">
        <v>719</v>
      </c>
      <c r="C8" s="813" t="s">
        <v>843</v>
      </c>
      <c r="D8" s="814">
        <v>1</v>
      </c>
      <c r="E8" s="814"/>
      <c r="F8" s="814"/>
      <c r="G8" s="814">
        <f ca="1">'020-ASNA-중기산출근거'!F132</f>
        <v>2129</v>
      </c>
      <c r="H8" s="814">
        <f t="shared" si="0"/>
        <v>2129</v>
      </c>
      <c r="I8" s="815"/>
    </row>
  </sheetData>
  <mergeCells count="1">
    <mergeCell ref="A1:I1"/>
  </mergeCells>
  <phoneticPr fontId="3" type="noConversion"/>
  <pageMargins left="0.75" right="0.32" top="1" bottom="1" header="0.5" footer="0.5"/>
  <pageSetup paperSize="9" scale="65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2198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enableFormatConditionsCalculation="0">
    <tabColor indexed="40"/>
  </sheetPr>
  <dimension ref="A1:X108"/>
  <sheetViews>
    <sheetView view="pageBreakPreview" topLeftCell="A49" zoomScaleSheetLayoutView="100" workbookViewId="0">
      <selection activeCell="E41" sqref="E41"/>
    </sheetView>
  </sheetViews>
  <sheetFormatPr defaultColWidth="8" defaultRowHeight="26.85" customHeight="1"/>
  <cols>
    <col min="1" max="1" width="13" style="1081" customWidth="1"/>
    <col min="2" max="2" width="12.109375" style="1056" customWidth="1"/>
    <col min="3" max="3" width="8" style="1082" bestFit="1" customWidth="1"/>
    <col min="4" max="4" width="4.109375" style="1083" customWidth="1"/>
    <col min="5" max="6" width="9.77734375" style="1084" bestFit="1" customWidth="1"/>
    <col min="7" max="7" width="8.88671875" style="1084" bestFit="1" customWidth="1"/>
    <col min="8" max="8" width="9.77734375" style="1084" bestFit="1" customWidth="1"/>
    <col min="9" max="10" width="8.88671875" style="1084" bestFit="1" customWidth="1"/>
    <col min="11" max="11" width="12.109375" style="1084" customWidth="1"/>
    <col min="12" max="16384" width="8" style="1056"/>
  </cols>
  <sheetData>
    <row r="1" spans="1:24" s="1050" customFormat="1" ht="26.85" customHeight="1">
      <c r="A1" s="1746" t="s">
        <v>1218</v>
      </c>
      <c r="B1" s="1734" t="s">
        <v>763</v>
      </c>
      <c r="C1" s="1736" t="s">
        <v>2031</v>
      </c>
      <c r="D1" s="1734" t="s">
        <v>983</v>
      </c>
      <c r="E1" s="1738" t="s">
        <v>764</v>
      </c>
      <c r="F1" s="1739"/>
      <c r="G1" s="1738" t="s">
        <v>765</v>
      </c>
      <c r="H1" s="1739"/>
      <c r="I1" s="1738" t="s">
        <v>2032</v>
      </c>
      <c r="J1" s="1739"/>
      <c r="K1" s="1048" t="s">
        <v>2033</v>
      </c>
      <c r="L1" s="1049"/>
      <c r="M1" s="1049"/>
      <c r="N1" s="1049"/>
      <c r="O1" s="1049"/>
      <c r="P1" s="1049"/>
      <c r="Q1" s="1049"/>
      <c r="R1" s="1049"/>
      <c r="S1" s="1049"/>
      <c r="T1" s="1049"/>
      <c r="U1" s="1049"/>
      <c r="V1" s="1049"/>
      <c r="W1" s="1049"/>
      <c r="X1" s="1049"/>
    </row>
    <row r="2" spans="1:24" s="1050" customFormat="1" ht="26.85" customHeight="1">
      <c r="A2" s="1747"/>
      <c r="B2" s="1735"/>
      <c r="C2" s="1737"/>
      <c r="D2" s="1735"/>
      <c r="E2" s="1051" t="s">
        <v>2034</v>
      </c>
      <c r="F2" s="1051" t="s">
        <v>2035</v>
      </c>
      <c r="G2" s="1051" t="s">
        <v>2034</v>
      </c>
      <c r="H2" s="1051" t="s">
        <v>2035</v>
      </c>
      <c r="I2" s="1051" t="s">
        <v>2034</v>
      </c>
      <c r="J2" s="1051" t="s">
        <v>2035</v>
      </c>
      <c r="K2" s="1052" t="s">
        <v>2035</v>
      </c>
      <c r="L2" s="1049"/>
      <c r="M2" s="1049"/>
      <c r="N2" s="1049"/>
      <c r="O2" s="1049"/>
      <c r="P2" s="1049"/>
      <c r="Q2" s="1049"/>
      <c r="R2" s="1049"/>
      <c r="S2" s="1049"/>
      <c r="T2" s="1049"/>
      <c r="U2" s="1049"/>
      <c r="V2" s="1049"/>
      <c r="W2" s="1049"/>
      <c r="X2" s="1049"/>
    </row>
    <row r="3" spans="1:24" ht="26.85" customHeight="1">
      <c r="A3" s="1743" t="s">
        <v>2036</v>
      </c>
      <c r="B3" s="1744"/>
      <c r="C3" s="1744"/>
      <c r="D3" s="1744"/>
      <c r="E3" s="1744"/>
      <c r="F3" s="1745"/>
      <c r="G3" s="1053"/>
      <c r="H3" s="1053"/>
      <c r="I3" s="1053"/>
      <c r="J3" s="1053"/>
      <c r="K3" s="1054"/>
      <c r="L3" s="1055"/>
      <c r="M3" s="1055"/>
      <c r="N3" s="1055"/>
      <c r="O3" s="1055"/>
      <c r="P3" s="1055"/>
      <c r="Q3" s="1055"/>
      <c r="R3" s="1055"/>
      <c r="S3" s="1055"/>
      <c r="T3" s="1055"/>
      <c r="U3" s="1055"/>
      <c r="V3" s="1055"/>
      <c r="W3" s="1055"/>
      <c r="X3" s="1055"/>
    </row>
    <row r="4" spans="1:24" ht="26.85" customHeight="1">
      <c r="A4" s="1057" t="s">
        <v>2037</v>
      </c>
      <c r="B4" s="1058" t="s">
        <v>2038</v>
      </c>
      <c r="C4" s="1059">
        <v>55</v>
      </c>
      <c r="D4" s="1058" t="s">
        <v>766</v>
      </c>
      <c r="E4" s="1060">
        <f ca="1">'8.0자재단가'!I62</f>
        <v>840</v>
      </c>
      <c r="F4" s="1060">
        <f t="shared" ref="F4:F14" si="0">INT(E4*C4)</f>
        <v>46200</v>
      </c>
      <c r="G4" s="1053"/>
      <c r="H4" s="1053">
        <f t="shared" ref="H4:H14" si="1">INT(G4*C4)</f>
        <v>0</v>
      </c>
      <c r="I4" s="1053"/>
      <c r="J4" s="1053">
        <f t="shared" ref="J4:J14" si="2">INT(I4*C4)</f>
        <v>0</v>
      </c>
      <c r="K4" s="1061">
        <f t="shared" ref="K4:K16" si="3">+J4+H4+F4</f>
        <v>46200</v>
      </c>
      <c r="L4" s="1055"/>
      <c r="M4" s="1055"/>
      <c r="N4" s="1055"/>
      <c r="O4" s="1055"/>
      <c r="P4" s="1055"/>
      <c r="Q4" s="1055"/>
      <c r="R4" s="1055"/>
      <c r="S4" s="1055"/>
      <c r="T4" s="1055"/>
      <c r="U4" s="1055"/>
      <c r="V4" s="1055"/>
      <c r="W4" s="1055"/>
      <c r="X4" s="1055"/>
    </row>
    <row r="5" spans="1:24" ht="26.85" customHeight="1">
      <c r="A5" s="1057" t="s">
        <v>2039</v>
      </c>
      <c r="B5" s="1058" t="s">
        <v>2040</v>
      </c>
      <c r="C5" s="1059">
        <v>10</v>
      </c>
      <c r="D5" s="1058" t="s">
        <v>1199</v>
      </c>
      <c r="E5" s="1060">
        <f ca="1">'8.0자재단가'!I63</f>
        <v>40</v>
      </c>
      <c r="F5" s="1060">
        <f t="shared" si="0"/>
        <v>400</v>
      </c>
      <c r="G5" s="1053"/>
      <c r="H5" s="1053">
        <f t="shared" si="1"/>
        <v>0</v>
      </c>
      <c r="I5" s="1053"/>
      <c r="J5" s="1053">
        <f t="shared" si="2"/>
        <v>0</v>
      </c>
      <c r="K5" s="1061">
        <f t="shared" si="3"/>
        <v>400</v>
      </c>
      <c r="L5" s="1055"/>
      <c r="M5" s="1055"/>
      <c r="N5" s="1055"/>
      <c r="O5" s="1055"/>
      <c r="P5" s="1055"/>
      <c r="Q5" s="1055"/>
      <c r="R5" s="1055"/>
      <c r="S5" s="1055"/>
      <c r="T5" s="1055"/>
      <c r="U5" s="1055"/>
      <c r="V5" s="1055"/>
      <c r="W5" s="1055"/>
      <c r="X5" s="1055"/>
    </row>
    <row r="6" spans="1:24" ht="26.85" customHeight="1">
      <c r="A6" s="1057" t="s">
        <v>2041</v>
      </c>
      <c r="B6" s="474" t="s">
        <v>2042</v>
      </c>
      <c r="C6" s="1059">
        <v>0.2</v>
      </c>
      <c r="D6" s="1058" t="s">
        <v>767</v>
      </c>
      <c r="E6" s="1060">
        <f ca="1">'8.0자재단가'!I64</f>
        <v>170000</v>
      </c>
      <c r="F6" s="1060">
        <f t="shared" si="0"/>
        <v>34000</v>
      </c>
      <c r="G6" s="1053"/>
      <c r="H6" s="1053">
        <f t="shared" si="1"/>
        <v>0</v>
      </c>
      <c r="I6" s="1053"/>
      <c r="J6" s="1053">
        <f t="shared" si="2"/>
        <v>0</v>
      </c>
      <c r="K6" s="1061">
        <f t="shared" si="3"/>
        <v>34000</v>
      </c>
      <c r="L6" s="1055"/>
      <c r="M6" s="1055"/>
      <c r="N6" s="1055"/>
      <c r="O6" s="1055"/>
      <c r="P6" s="1055"/>
      <c r="Q6" s="1055"/>
      <c r="R6" s="1055"/>
      <c r="S6" s="1055"/>
      <c r="T6" s="1055"/>
      <c r="U6" s="1055"/>
      <c r="V6" s="1055"/>
      <c r="W6" s="1055"/>
      <c r="X6" s="1055"/>
    </row>
    <row r="7" spans="1:24" ht="26.85" customHeight="1">
      <c r="A7" s="1057" t="s">
        <v>970</v>
      </c>
      <c r="B7" s="1058"/>
      <c r="C7" s="1062">
        <v>1.9E-2</v>
      </c>
      <c r="D7" s="1058" t="s">
        <v>820</v>
      </c>
      <c r="E7" s="1053"/>
      <c r="F7" s="1053">
        <f t="shared" si="0"/>
        <v>0</v>
      </c>
      <c r="G7" s="1053">
        <f ca="1">'11.0시중노임'!F4</f>
        <v>92218</v>
      </c>
      <c r="H7" s="1060">
        <f t="shared" si="1"/>
        <v>1752</v>
      </c>
      <c r="I7" s="1053"/>
      <c r="J7" s="1053">
        <f t="shared" si="2"/>
        <v>0</v>
      </c>
      <c r="K7" s="1061">
        <f t="shared" si="3"/>
        <v>1752</v>
      </c>
      <c r="L7" s="1055"/>
      <c r="M7" s="1055"/>
      <c r="N7" s="1055"/>
      <c r="O7" s="1055"/>
      <c r="P7" s="1055"/>
      <c r="Q7" s="1055"/>
      <c r="R7" s="1055"/>
      <c r="S7" s="1055"/>
      <c r="T7" s="1055"/>
      <c r="U7" s="1055"/>
      <c r="V7" s="1055"/>
      <c r="W7" s="1055"/>
      <c r="X7" s="1055"/>
    </row>
    <row r="8" spans="1:24" ht="26.85" customHeight="1">
      <c r="A8" s="1057" t="s">
        <v>967</v>
      </c>
      <c r="B8" s="1058"/>
      <c r="C8" s="1062">
        <v>3.6999999999999998E-2</v>
      </c>
      <c r="D8" s="1058" t="s">
        <v>820</v>
      </c>
      <c r="E8" s="1053"/>
      <c r="F8" s="1053">
        <f t="shared" si="0"/>
        <v>0</v>
      </c>
      <c r="G8" s="1053">
        <f ca="1">'11.0시중노임'!F5</f>
        <v>84404</v>
      </c>
      <c r="H8" s="1060">
        <f t="shared" si="1"/>
        <v>3122</v>
      </c>
      <c r="I8" s="1053"/>
      <c r="J8" s="1053">
        <f t="shared" si="2"/>
        <v>0</v>
      </c>
      <c r="K8" s="1061">
        <f t="shared" si="3"/>
        <v>3122</v>
      </c>
      <c r="L8" s="1055"/>
      <c r="M8" s="1055"/>
      <c r="N8" s="1055"/>
      <c r="O8" s="1055"/>
      <c r="P8" s="1055"/>
      <c r="Q8" s="1055"/>
      <c r="R8" s="1055"/>
      <c r="S8" s="1055"/>
      <c r="T8" s="1055"/>
      <c r="U8" s="1055"/>
      <c r="V8" s="1055"/>
      <c r="W8" s="1055"/>
      <c r="X8" s="1055"/>
    </row>
    <row r="9" spans="1:24" ht="26.85" customHeight="1">
      <c r="A9" s="1057" t="s">
        <v>971</v>
      </c>
      <c r="B9" s="1058"/>
      <c r="C9" s="1062">
        <v>0.123</v>
      </c>
      <c r="D9" s="1058" t="s">
        <v>820</v>
      </c>
      <c r="E9" s="1053"/>
      <c r="F9" s="1053">
        <f t="shared" si="0"/>
        <v>0</v>
      </c>
      <c r="G9" s="1053">
        <f ca="1">'11.0시중노임'!F6</f>
        <v>68965</v>
      </c>
      <c r="H9" s="1060">
        <f t="shared" si="1"/>
        <v>8482</v>
      </c>
      <c r="I9" s="1053"/>
      <c r="J9" s="1053">
        <f t="shared" si="2"/>
        <v>0</v>
      </c>
      <c r="K9" s="1061">
        <f t="shared" si="3"/>
        <v>8482</v>
      </c>
      <c r="L9" s="1055"/>
      <c r="M9" s="1055"/>
      <c r="N9" s="1055"/>
      <c r="O9" s="1055"/>
      <c r="P9" s="1055"/>
      <c r="Q9" s="1055"/>
      <c r="R9" s="1055"/>
      <c r="S9" s="1055"/>
      <c r="T9" s="1055"/>
      <c r="U9" s="1055"/>
      <c r="V9" s="1055"/>
      <c r="W9" s="1055"/>
      <c r="X9" s="1055"/>
    </row>
    <row r="10" spans="1:24" ht="26.85" customHeight="1">
      <c r="A10" s="1057" t="s">
        <v>768</v>
      </c>
      <c r="B10" s="1058" t="s">
        <v>2043</v>
      </c>
      <c r="C10" s="1062">
        <v>7.1999999999999995E-2</v>
      </c>
      <c r="D10" s="1058" t="s">
        <v>1179</v>
      </c>
      <c r="E10" s="1060">
        <f ca="1">'9.0중기목록'!F50</f>
        <v>8332</v>
      </c>
      <c r="F10" s="1060">
        <f t="shared" si="0"/>
        <v>599</v>
      </c>
      <c r="G10" s="1060">
        <f ca="1">'9.0중기목록'!E50</f>
        <v>14915</v>
      </c>
      <c r="H10" s="1060">
        <f t="shared" si="1"/>
        <v>1073</v>
      </c>
      <c r="I10" s="1060">
        <f ca="1">'9.0중기목록'!G50</f>
        <v>63069</v>
      </c>
      <c r="J10" s="1060">
        <f t="shared" si="2"/>
        <v>4540</v>
      </c>
      <c r="K10" s="1061">
        <f t="shared" si="3"/>
        <v>6212</v>
      </c>
      <c r="L10" s="1055"/>
      <c r="M10" s="1055"/>
      <c r="N10" s="1055"/>
      <c r="O10" s="1055"/>
      <c r="P10" s="1055"/>
      <c r="Q10" s="1055"/>
      <c r="R10" s="1055"/>
      <c r="S10" s="1055"/>
      <c r="T10" s="1055"/>
      <c r="U10" s="1055"/>
      <c r="V10" s="1055"/>
      <c r="W10" s="1055"/>
      <c r="X10" s="1055"/>
    </row>
    <row r="11" spans="1:24" ht="26.85" customHeight="1">
      <c r="A11" s="1057" t="s">
        <v>769</v>
      </c>
      <c r="B11" s="1058" t="s">
        <v>770</v>
      </c>
      <c r="C11" s="1062">
        <v>7.1999999999999995E-2</v>
      </c>
      <c r="D11" s="1058" t="s">
        <v>1179</v>
      </c>
      <c r="E11" s="1060">
        <f ca="1">'9.0중기목록'!F12</f>
        <v>6640</v>
      </c>
      <c r="F11" s="1060">
        <f t="shared" si="0"/>
        <v>478</v>
      </c>
      <c r="G11" s="1060">
        <f ca="1">'9.0중기목록'!E12</f>
        <v>17696</v>
      </c>
      <c r="H11" s="1060">
        <f t="shared" si="1"/>
        <v>1274</v>
      </c>
      <c r="I11" s="1060">
        <f ca="1">'9.0중기목록'!G12</f>
        <v>10362</v>
      </c>
      <c r="J11" s="1060">
        <f t="shared" si="2"/>
        <v>746</v>
      </c>
      <c r="K11" s="1061">
        <f t="shared" si="3"/>
        <v>2498</v>
      </c>
      <c r="L11" s="1055"/>
      <c r="M11" s="1055"/>
      <c r="N11" s="1055"/>
      <c r="O11" s="1055"/>
      <c r="P11" s="1055"/>
      <c r="Q11" s="1055"/>
      <c r="R11" s="1055"/>
      <c r="S11" s="1055"/>
      <c r="T11" s="1055"/>
      <c r="U11" s="1055"/>
      <c r="V11" s="1055"/>
      <c r="W11" s="1055"/>
      <c r="X11" s="1055"/>
    </row>
    <row r="12" spans="1:24" ht="26.85" customHeight="1">
      <c r="A12" s="1057" t="s">
        <v>785</v>
      </c>
      <c r="B12" s="1058" t="s">
        <v>771</v>
      </c>
      <c r="C12" s="1062">
        <v>7.1999999999999995E-2</v>
      </c>
      <c r="D12" s="1058" t="s">
        <v>1179</v>
      </c>
      <c r="E12" s="1060">
        <f ca="1">'9.0중기목록'!F16</f>
        <v>11978</v>
      </c>
      <c r="F12" s="1060">
        <f t="shared" si="0"/>
        <v>862</v>
      </c>
      <c r="G12" s="1060">
        <f ca="1">'9.0중기목록'!E16</f>
        <v>17696</v>
      </c>
      <c r="H12" s="1060">
        <f t="shared" si="1"/>
        <v>1274</v>
      </c>
      <c r="I12" s="1060">
        <f ca="1">'9.0중기목록'!G16</f>
        <v>6117</v>
      </c>
      <c r="J12" s="1060">
        <f t="shared" si="2"/>
        <v>440</v>
      </c>
      <c r="K12" s="1061">
        <f t="shared" si="3"/>
        <v>2576</v>
      </c>
      <c r="L12" s="1055"/>
      <c r="M12" s="1055"/>
      <c r="N12" s="1055"/>
      <c r="O12" s="1055"/>
      <c r="P12" s="1055"/>
      <c r="Q12" s="1055"/>
      <c r="R12" s="1055"/>
      <c r="S12" s="1055"/>
      <c r="T12" s="1055"/>
      <c r="U12" s="1055"/>
      <c r="V12" s="1055"/>
      <c r="W12" s="1055"/>
      <c r="X12" s="1055"/>
    </row>
    <row r="13" spans="1:24" ht="26.85" customHeight="1">
      <c r="A13" s="1057" t="s">
        <v>772</v>
      </c>
      <c r="B13" s="1058" t="s">
        <v>773</v>
      </c>
      <c r="C13" s="1062">
        <v>0.36199999999999999</v>
      </c>
      <c r="D13" s="1058" t="s">
        <v>1179</v>
      </c>
      <c r="E13" s="1060">
        <f ca="1">'9.0중기목록'!F14</f>
        <v>13117</v>
      </c>
      <c r="F13" s="1060">
        <f t="shared" si="0"/>
        <v>4748</v>
      </c>
      <c r="G13" s="1060">
        <f ca="1">'9.0중기목록'!E14</f>
        <v>17696</v>
      </c>
      <c r="H13" s="1060">
        <f t="shared" si="1"/>
        <v>6405</v>
      </c>
      <c r="I13" s="1060">
        <f ca="1">'9.0중기목록'!G14</f>
        <v>7823</v>
      </c>
      <c r="J13" s="1060">
        <f t="shared" si="2"/>
        <v>2831</v>
      </c>
      <c r="K13" s="1061">
        <f t="shared" si="3"/>
        <v>13984</v>
      </c>
      <c r="L13" s="1055"/>
      <c r="M13" s="1055"/>
      <c r="N13" s="1055"/>
      <c r="O13" s="1055"/>
      <c r="P13" s="1055"/>
      <c r="Q13" s="1055"/>
      <c r="R13" s="1055"/>
      <c r="S13" s="1055"/>
      <c r="T13" s="1055"/>
      <c r="U13" s="1055"/>
      <c r="V13" s="1055"/>
      <c r="W13" s="1055"/>
      <c r="X13" s="1055"/>
    </row>
    <row r="14" spans="1:24" ht="26.85" customHeight="1">
      <c r="A14" s="1057" t="s">
        <v>774</v>
      </c>
      <c r="B14" s="1058" t="s">
        <v>775</v>
      </c>
      <c r="C14" s="1062">
        <v>7.1999999999999995E-2</v>
      </c>
      <c r="D14" s="1058" t="s">
        <v>1179</v>
      </c>
      <c r="E14" s="1053"/>
      <c r="F14" s="1053">
        <f t="shared" si="0"/>
        <v>0</v>
      </c>
      <c r="G14" s="1053"/>
      <c r="H14" s="1053">
        <f t="shared" si="1"/>
        <v>0</v>
      </c>
      <c r="I14" s="1060">
        <f ca="1">'9.0중기목록'!G52</f>
        <v>77</v>
      </c>
      <c r="J14" s="1060">
        <f t="shared" si="2"/>
        <v>5</v>
      </c>
      <c r="K14" s="1061">
        <f t="shared" si="3"/>
        <v>5</v>
      </c>
      <c r="L14" s="1055"/>
      <c r="M14" s="1055"/>
      <c r="N14" s="1055"/>
      <c r="O14" s="1055"/>
      <c r="P14" s="1055"/>
      <c r="Q14" s="1055"/>
      <c r="R14" s="1055"/>
      <c r="S14" s="1055"/>
      <c r="T14" s="1055"/>
      <c r="U14" s="1055"/>
      <c r="V14" s="1055"/>
      <c r="W14" s="1055"/>
      <c r="X14" s="1055"/>
    </row>
    <row r="15" spans="1:24" ht="26.85" customHeight="1">
      <c r="A15" s="1057" t="s">
        <v>1210</v>
      </c>
      <c r="B15" s="1058" t="s">
        <v>776</v>
      </c>
      <c r="C15" s="1059">
        <v>1</v>
      </c>
      <c r="D15" s="1058" t="s">
        <v>1219</v>
      </c>
      <c r="E15" s="1053"/>
      <c r="F15" s="1060">
        <f>INT(SUM(F4:F14)*0.03)</f>
        <v>2618</v>
      </c>
      <c r="G15" s="1053"/>
      <c r="H15" s="1053"/>
      <c r="I15" s="1060"/>
      <c r="J15" s="1060"/>
      <c r="K15" s="1061">
        <f t="shared" si="3"/>
        <v>2618</v>
      </c>
      <c r="L15" s="1055"/>
      <c r="M15" s="1055"/>
      <c r="N15" s="1055"/>
      <c r="O15" s="1055"/>
      <c r="P15" s="1055"/>
      <c r="Q15" s="1055"/>
      <c r="R15" s="1055"/>
      <c r="S15" s="1055"/>
      <c r="T15" s="1055"/>
      <c r="U15" s="1055"/>
      <c r="V15" s="1055"/>
      <c r="W15" s="1055"/>
      <c r="X15" s="1055"/>
    </row>
    <row r="16" spans="1:24" ht="26.85" customHeight="1">
      <c r="A16" s="1057" t="s">
        <v>1212</v>
      </c>
      <c r="B16" s="1058" t="s">
        <v>777</v>
      </c>
      <c r="C16" s="1059">
        <v>1</v>
      </c>
      <c r="D16" s="1058" t="s">
        <v>1219</v>
      </c>
      <c r="E16" s="1053"/>
      <c r="F16" s="1053">
        <f>INT(H7+H8+H9+H10+H11+H12+H13+H14)*0.02</f>
        <v>467.64</v>
      </c>
      <c r="G16" s="1053"/>
      <c r="H16" s="1060"/>
      <c r="I16" s="1060"/>
      <c r="J16" s="1060"/>
      <c r="K16" s="1061">
        <f t="shared" si="3"/>
        <v>467.64</v>
      </c>
      <c r="L16" s="1055"/>
      <c r="M16" s="1055"/>
      <c r="N16" s="1055"/>
      <c r="O16" s="1055"/>
      <c r="P16" s="1055"/>
      <c r="Q16" s="1055"/>
      <c r="R16" s="1055"/>
      <c r="S16" s="1055"/>
      <c r="T16" s="1055"/>
      <c r="U16" s="1055"/>
      <c r="V16" s="1055"/>
      <c r="W16" s="1055"/>
      <c r="X16" s="1055"/>
    </row>
    <row r="17" spans="1:24" ht="26.85" customHeight="1">
      <c r="A17" s="1057" t="s">
        <v>786</v>
      </c>
      <c r="B17" s="1058"/>
      <c r="C17" s="1063"/>
      <c r="D17" s="1058"/>
      <c r="E17" s="1053"/>
      <c r="F17" s="1060">
        <f>SUM(F4:F16)</f>
        <v>90372.64</v>
      </c>
      <c r="G17" s="1053"/>
      <c r="H17" s="1060">
        <f>SUM(H4:H16)</f>
        <v>23382</v>
      </c>
      <c r="I17" s="1060"/>
      <c r="J17" s="1060">
        <f>SUM(J4:J16)</f>
        <v>8562</v>
      </c>
      <c r="K17" s="1061">
        <f>SUM(K4:K16)</f>
        <v>122316.64</v>
      </c>
      <c r="L17" s="1055"/>
      <c r="M17" s="1055"/>
      <c r="N17" s="1055"/>
      <c r="O17" s="1055"/>
      <c r="P17" s="1055"/>
      <c r="Q17" s="1055"/>
      <c r="R17" s="1055"/>
      <c r="S17" s="1055"/>
      <c r="T17" s="1055"/>
      <c r="U17" s="1055"/>
      <c r="V17" s="1055"/>
      <c r="W17" s="1055"/>
      <c r="X17" s="1055"/>
    </row>
    <row r="18" spans="1:24" ht="26.85" customHeight="1">
      <c r="A18" s="1740">
        <f>INT(K17/10)</f>
        <v>12231</v>
      </c>
      <c r="B18" s="1741"/>
      <c r="C18" s="1741"/>
      <c r="D18" s="1741"/>
      <c r="E18" s="1741"/>
      <c r="F18" s="1741"/>
      <c r="G18" s="1741"/>
      <c r="H18" s="1741"/>
      <c r="I18" s="1741"/>
      <c r="J18" s="1741"/>
      <c r="K18" s="1742"/>
      <c r="L18" s="1055"/>
      <c r="M18" s="1055"/>
      <c r="N18" s="1055"/>
      <c r="O18" s="1055"/>
      <c r="P18" s="1055"/>
      <c r="Q18" s="1055"/>
      <c r="R18" s="1055"/>
      <c r="S18" s="1055"/>
      <c r="T18" s="1055"/>
      <c r="U18" s="1055"/>
      <c r="V18" s="1055"/>
      <c r="W18" s="1055"/>
      <c r="X18" s="1055"/>
    </row>
    <row r="19" spans="1:24" ht="26.85" customHeight="1">
      <c r="A19" s="1064"/>
      <c r="B19" s="1065"/>
      <c r="C19" s="1066"/>
      <c r="D19" s="1065"/>
      <c r="E19" s="1067"/>
      <c r="F19" s="1067"/>
      <c r="G19" s="1067"/>
      <c r="H19" s="1067"/>
      <c r="I19" s="1067"/>
      <c r="J19" s="1067"/>
      <c r="K19" s="1068"/>
      <c r="L19" s="1055"/>
      <c r="M19" s="1055"/>
      <c r="N19" s="1055"/>
      <c r="O19" s="1055"/>
      <c r="P19" s="1055"/>
      <c r="Q19" s="1055"/>
      <c r="R19" s="1055"/>
      <c r="S19" s="1055"/>
      <c r="T19" s="1055"/>
      <c r="U19" s="1055"/>
      <c r="V19" s="1055"/>
      <c r="W19" s="1055"/>
      <c r="X19" s="1055"/>
    </row>
    <row r="20" spans="1:24" ht="26.85" customHeight="1">
      <c r="A20" s="1732" t="s">
        <v>178</v>
      </c>
      <c r="B20" s="1733"/>
      <c r="C20" s="1733"/>
      <c r="D20" s="1733"/>
      <c r="E20" s="1733"/>
      <c r="F20" s="1733"/>
      <c r="G20" s="1069"/>
      <c r="H20" s="1069"/>
      <c r="I20" s="1069"/>
      <c r="J20" s="1069"/>
      <c r="K20" s="1070"/>
    </row>
    <row r="21" spans="1:24" ht="26.85" customHeight="1">
      <c r="A21" s="1057" t="s">
        <v>779</v>
      </c>
      <c r="B21" s="1058" t="s">
        <v>780</v>
      </c>
      <c r="C21" s="1071">
        <v>110</v>
      </c>
      <c r="D21" s="1058" t="s">
        <v>766</v>
      </c>
      <c r="E21" s="1060">
        <f ca="1">'8.0자재단가'!I62</f>
        <v>840</v>
      </c>
      <c r="F21" s="1060">
        <f t="shared" ref="F21:F31" si="4">INT(E21*C21)</f>
        <v>92400</v>
      </c>
      <c r="G21" s="1053"/>
      <c r="H21" s="1053">
        <f t="shared" ref="H21:H31" si="5">INT(G21*C21)</f>
        <v>0</v>
      </c>
      <c r="I21" s="1053"/>
      <c r="J21" s="1053">
        <f t="shared" ref="J21:J31" si="6">INT(I21*C21)</f>
        <v>0</v>
      </c>
      <c r="K21" s="1061">
        <f t="shared" ref="K21:K31" si="7">+J21+H21+F21</f>
        <v>92400</v>
      </c>
    </row>
    <row r="22" spans="1:24" ht="26.85" customHeight="1">
      <c r="A22" s="1057" t="s">
        <v>176</v>
      </c>
      <c r="B22" s="1058" t="s">
        <v>177</v>
      </c>
      <c r="C22" s="1071">
        <v>20</v>
      </c>
      <c r="D22" s="1058" t="s">
        <v>1199</v>
      </c>
      <c r="E22" s="1060">
        <f ca="1">'8.0자재단가'!I63</f>
        <v>40</v>
      </c>
      <c r="F22" s="1060">
        <f t="shared" si="4"/>
        <v>800</v>
      </c>
      <c r="G22" s="1053"/>
      <c r="H22" s="1053">
        <f t="shared" si="5"/>
        <v>0</v>
      </c>
      <c r="I22" s="1053"/>
      <c r="J22" s="1053">
        <f t="shared" si="6"/>
        <v>0</v>
      </c>
      <c r="K22" s="1061">
        <f t="shared" si="7"/>
        <v>800</v>
      </c>
    </row>
    <row r="23" spans="1:24" ht="26.85" customHeight="1">
      <c r="A23" s="1057" t="s">
        <v>800</v>
      </c>
      <c r="B23" s="474" t="s">
        <v>783</v>
      </c>
      <c r="C23" s="1071">
        <v>0.2</v>
      </c>
      <c r="D23" s="1058" t="s">
        <v>767</v>
      </c>
      <c r="E23" s="1060">
        <f ca="1">'8.0자재단가'!I64</f>
        <v>170000</v>
      </c>
      <c r="F23" s="1060">
        <f t="shared" si="4"/>
        <v>34000</v>
      </c>
      <c r="G23" s="1053"/>
      <c r="H23" s="1053">
        <f t="shared" si="5"/>
        <v>0</v>
      </c>
      <c r="I23" s="1053"/>
      <c r="J23" s="1053">
        <f t="shared" si="6"/>
        <v>0</v>
      </c>
      <c r="K23" s="1061">
        <f t="shared" si="7"/>
        <v>34000</v>
      </c>
    </row>
    <row r="24" spans="1:24" ht="26.85" customHeight="1">
      <c r="A24" s="1057" t="s">
        <v>970</v>
      </c>
      <c r="B24" s="1058"/>
      <c r="C24" s="1072">
        <v>2.5000000000000001E-2</v>
      </c>
      <c r="D24" s="1058" t="s">
        <v>820</v>
      </c>
      <c r="E24" s="1053"/>
      <c r="F24" s="1053">
        <f t="shared" si="4"/>
        <v>0</v>
      </c>
      <c r="G24" s="1053">
        <f t="shared" ref="G24:G30" si="8">G7</f>
        <v>92218</v>
      </c>
      <c r="H24" s="1060">
        <f t="shared" si="5"/>
        <v>2305</v>
      </c>
      <c r="I24" s="1053"/>
      <c r="J24" s="1053">
        <f t="shared" si="6"/>
        <v>0</v>
      </c>
      <c r="K24" s="1061">
        <f t="shared" si="7"/>
        <v>2305</v>
      </c>
    </row>
    <row r="25" spans="1:24" ht="26.85" customHeight="1">
      <c r="A25" s="1057" t="s">
        <v>967</v>
      </c>
      <c r="B25" s="1058"/>
      <c r="C25" s="1072">
        <v>4.9000000000000002E-2</v>
      </c>
      <c r="D25" s="1058" t="s">
        <v>820</v>
      </c>
      <c r="E25" s="1053"/>
      <c r="F25" s="1053">
        <f t="shared" si="4"/>
        <v>0</v>
      </c>
      <c r="G25" s="1053">
        <f t="shared" si="8"/>
        <v>84404</v>
      </c>
      <c r="H25" s="1060">
        <f t="shared" si="5"/>
        <v>4135</v>
      </c>
      <c r="I25" s="1053"/>
      <c r="J25" s="1053">
        <f t="shared" si="6"/>
        <v>0</v>
      </c>
      <c r="K25" s="1061">
        <f t="shared" si="7"/>
        <v>4135</v>
      </c>
    </row>
    <row r="26" spans="1:24" ht="26.85" customHeight="1">
      <c r="A26" s="1057" t="s">
        <v>971</v>
      </c>
      <c r="B26" s="1058"/>
      <c r="C26" s="1072">
        <v>0.14499999999999999</v>
      </c>
      <c r="D26" s="1058" t="s">
        <v>820</v>
      </c>
      <c r="E26" s="1053"/>
      <c r="F26" s="1053">
        <f t="shared" si="4"/>
        <v>0</v>
      </c>
      <c r="G26" s="1053">
        <f t="shared" si="8"/>
        <v>68965</v>
      </c>
      <c r="H26" s="1060">
        <f t="shared" si="5"/>
        <v>9999</v>
      </c>
      <c r="I26" s="1053"/>
      <c r="J26" s="1053">
        <f t="shared" si="6"/>
        <v>0</v>
      </c>
      <c r="K26" s="1061">
        <f t="shared" si="7"/>
        <v>9999</v>
      </c>
    </row>
    <row r="27" spans="1:24" ht="26.85" customHeight="1">
      <c r="A27" s="1057" t="s">
        <v>768</v>
      </c>
      <c r="B27" s="1058" t="s">
        <v>2044</v>
      </c>
      <c r="C27" s="1072">
        <v>0.14699999999999999</v>
      </c>
      <c r="D27" s="1058" t="s">
        <v>1179</v>
      </c>
      <c r="E27" s="1060">
        <f>E10</f>
        <v>8332</v>
      </c>
      <c r="F27" s="1060">
        <f t="shared" si="4"/>
        <v>1224</v>
      </c>
      <c r="G27" s="1060">
        <f t="shared" si="8"/>
        <v>14915</v>
      </c>
      <c r="H27" s="1060">
        <f t="shared" si="5"/>
        <v>2192</v>
      </c>
      <c r="I27" s="1060">
        <f>I10</f>
        <v>63069</v>
      </c>
      <c r="J27" s="1060">
        <f t="shared" si="6"/>
        <v>9271</v>
      </c>
      <c r="K27" s="1061">
        <f t="shared" si="7"/>
        <v>12687</v>
      </c>
    </row>
    <row r="28" spans="1:24" ht="26.85" customHeight="1">
      <c r="A28" s="1057" t="s">
        <v>769</v>
      </c>
      <c r="B28" s="1058" t="s">
        <v>770</v>
      </c>
      <c r="C28" s="1072">
        <v>0.14699999999999999</v>
      </c>
      <c r="D28" s="1058" t="s">
        <v>1179</v>
      </c>
      <c r="E28" s="1060">
        <f>E11</f>
        <v>6640</v>
      </c>
      <c r="F28" s="1060">
        <f t="shared" si="4"/>
        <v>976</v>
      </c>
      <c r="G28" s="1060">
        <f t="shared" si="8"/>
        <v>17696</v>
      </c>
      <c r="H28" s="1060">
        <f t="shared" si="5"/>
        <v>2601</v>
      </c>
      <c r="I28" s="1060">
        <f>I11</f>
        <v>10362</v>
      </c>
      <c r="J28" s="1060">
        <f t="shared" si="6"/>
        <v>1523</v>
      </c>
      <c r="K28" s="1061">
        <f t="shared" si="7"/>
        <v>5100</v>
      </c>
    </row>
    <row r="29" spans="1:24" ht="26.85" customHeight="1">
      <c r="A29" s="1057" t="s">
        <v>817</v>
      </c>
      <c r="B29" s="1058" t="s">
        <v>771</v>
      </c>
      <c r="C29" s="1072">
        <v>0.14699999999999999</v>
      </c>
      <c r="D29" s="1058" t="s">
        <v>1179</v>
      </c>
      <c r="E29" s="1060">
        <f>E12</f>
        <v>11978</v>
      </c>
      <c r="F29" s="1060">
        <f t="shared" si="4"/>
        <v>1760</v>
      </c>
      <c r="G29" s="1060">
        <f t="shared" si="8"/>
        <v>17696</v>
      </c>
      <c r="H29" s="1060">
        <f t="shared" si="5"/>
        <v>2601</v>
      </c>
      <c r="I29" s="1060">
        <f>I12</f>
        <v>6117</v>
      </c>
      <c r="J29" s="1060">
        <f t="shared" si="6"/>
        <v>899</v>
      </c>
      <c r="K29" s="1061">
        <f t="shared" si="7"/>
        <v>5260</v>
      </c>
    </row>
    <row r="30" spans="1:24" ht="26.85" customHeight="1">
      <c r="A30" s="1057" t="s">
        <v>772</v>
      </c>
      <c r="B30" s="1058" t="s">
        <v>773</v>
      </c>
      <c r="C30" s="1072">
        <v>0.432</v>
      </c>
      <c r="D30" s="1058" t="s">
        <v>1179</v>
      </c>
      <c r="E30" s="1060">
        <f>E13</f>
        <v>13117</v>
      </c>
      <c r="F30" s="1060">
        <f t="shared" si="4"/>
        <v>5666</v>
      </c>
      <c r="G30" s="1060">
        <f t="shared" si="8"/>
        <v>17696</v>
      </c>
      <c r="H30" s="1060">
        <f t="shared" si="5"/>
        <v>7644</v>
      </c>
      <c r="I30" s="1060">
        <f>I13</f>
        <v>7823</v>
      </c>
      <c r="J30" s="1060">
        <f t="shared" si="6"/>
        <v>3379</v>
      </c>
      <c r="K30" s="1061">
        <f t="shared" si="7"/>
        <v>16689</v>
      </c>
    </row>
    <row r="31" spans="1:24" ht="26.85" customHeight="1">
      <c r="A31" s="1057" t="s">
        <v>774</v>
      </c>
      <c r="B31" s="1058" t="s">
        <v>775</v>
      </c>
      <c r="C31" s="1072">
        <v>0.14699999999999999</v>
      </c>
      <c r="D31" s="1058" t="s">
        <v>1179</v>
      </c>
      <c r="E31" s="1053"/>
      <c r="F31" s="1053">
        <f t="shared" si="4"/>
        <v>0</v>
      </c>
      <c r="G31" s="1053"/>
      <c r="H31" s="1053">
        <f t="shared" si="5"/>
        <v>0</v>
      </c>
      <c r="I31" s="1060">
        <f>I14</f>
        <v>77</v>
      </c>
      <c r="J31" s="1060">
        <f t="shared" si="6"/>
        <v>11</v>
      </c>
      <c r="K31" s="1061">
        <f t="shared" si="7"/>
        <v>11</v>
      </c>
    </row>
    <row r="32" spans="1:24" ht="26.85" customHeight="1">
      <c r="A32" s="1057" t="s">
        <v>1210</v>
      </c>
      <c r="B32" s="1058" t="s">
        <v>776</v>
      </c>
      <c r="C32" s="1073">
        <v>1</v>
      </c>
      <c r="D32" s="1058" t="s">
        <v>1219</v>
      </c>
      <c r="E32" s="1053"/>
      <c r="F32" s="1060">
        <f>INT(SUM(F21:F31)*0.03)</f>
        <v>4104</v>
      </c>
      <c r="G32" s="1053"/>
      <c r="H32" s="1053"/>
      <c r="I32" s="1060"/>
      <c r="J32" s="1060"/>
      <c r="K32" s="1061">
        <f>$F$32</f>
        <v>4104</v>
      </c>
    </row>
    <row r="33" spans="1:11" ht="26.85" customHeight="1">
      <c r="A33" s="1057" t="s">
        <v>1212</v>
      </c>
      <c r="B33" s="1058" t="s">
        <v>777</v>
      </c>
      <c r="C33" s="1073">
        <v>1</v>
      </c>
      <c r="D33" s="1058" t="s">
        <v>1219</v>
      </c>
      <c r="E33" s="1053"/>
      <c r="F33" s="1053">
        <v>481</v>
      </c>
      <c r="G33" s="1053"/>
      <c r="H33" s="1060"/>
      <c r="I33" s="1060"/>
      <c r="J33" s="1060"/>
      <c r="K33" s="1061">
        <f>F33+H33+J33</f>
        <v>481</v>
      </c>
    </row>
    <row r="34" spans="1:11" ht="26.85" customHeight="1">
      <c r="A34" s="1074" t="s">
        <v>179</v>
      </c>
      <c r="B34" s="474" t="s">
        <v>797</v>
      </c>
      <c r="C34" s="1075">
        <v>1</v>
      </c>
      <c r="D34" s="474" t="s">
        <v>788</v>
      </c>
      <c r="E34" s="1053"/>
      <c r="F34" s="1053">
        <v>10918</v>
      </c>
      <c r="G34" s="1053"/>
      <c r="H34" s="1053">
        <v>17079</v>
      </c>
      <c r="I34" s="1053"/>
      <c r="J34" s="1053">
        <v>0</v>
      </c>
      <c r="K34" s="1061">
        <f>+J34+H34+F34</f>
        <v>27997</v>
      </c>
    </row>
    <row r="35" spans="1:11" ht="26.85" customHeight="1">
      <c r="A35" s="1057" t="s">
        <v>786</v>
      </c>
      <c r="B35" s="1058"/>
      <c r="C35" s="1076"/>
      <c r="D35" s="1058"/>
      <c r="E35" s="1053"/>
      <c r="F35" s="1060">
        <f>SUM(F21:F34)</f>
        <v>152329</v>
      </c>
      <c r="G35" s="1053"/>
      <c r="H35" s="1060">
        <f>SUM(H21:H34)</f>
        <v>48556</v>
      </c>
      <c r="I35" s="1060"/>
      <c r="J35" s="1060">
        <f>SUM(J21:J34)</f>
        <v>15083</v>
      </c>
      <c r="K35" s="1061">
        <f>SUM(K21:K34)</f>
        <v>215968</v>
      </c>
    </row>
    <row r="36" spans="1:11" ht="26.85" customHeight="1">
      <c r="A36" s="1725">
        <f>INT(K35/10)</f>
        <v>21596</v>
      </c>
      <c r="B36" s="1726"/>
      <c r="C36" s="1726"/>
      <c r="D36" s="1726"/>
      <c r="E36" s="1726"/>
      <c r="F36" s="1726"/>
      <c r="G36" s="1726"/>
      <c r="H36" s="1726"/>
      <c r="I36" s="1726"/>
      <c r="J36" s="1726"/>
      <c r="K36" s="1727"/>
    </row>
    <row r="37" spans="1:11" ht="26.85" customHeight="1">
      <c r="A37" s="1064"/>
      <c r="B37" s="1065"/>
      <c r="C37" s="1077"/>
      <c r="D37" s="1065"/>
      <c r="E37" s="1067"/>
      <c r="F37" s="1067"/>
      <c r="G37" s="1067"/>
      <c r="H37" s="1067"/>
      <c r="I37" s="1067"/>
      <c r="J37" s="1067"/>
      <c r="K37" s="1068"/>
    </row>
    <row r="38" spans="1:11" ht="26.1" customHeight="1">
      <c r="A38" s="1730" t="s">
        <v>790</v>
      </c>
      <c r="B38" s="1731"/>
      <c r="C38" s="1731"/>
      <c r="D38" s="1731"/>
      <c r="E38" s="1731"/>
      <c r="F38" s="1731"/>
      <c r="G38" s="1053"/>
      <c r="H38" s="1053"/>
      <c r="I38" s="1053"/>
      <c r="J38" s="1053"/>
      <c r="K38" s="1054"/>
    </row>
    <row r="39" spans="1:11" ht="26.1" customHeight="1">
      <c r="A39" s="1057" t="s">
        <v>779</v>
      </c>
      <c r="B39" s="1058" t="s">
        <v>780</v>
      </c>
      <c r="C39" s="1071">
        <v>220</v>
      </c>
      <c r="D39" s="1058" t="s">
        <v>766</v>
      </c>
      <c r="E39" s="1060">
        <f ca="1">'8.0자재단가'!I62</f>
        <v>840</v>
      </c>
      <c r="F39" s="1060">
        <f t="shared" ref="F39:F49" si="9">INT(E39*C39)</f>
        <v>184800</v>
      </c>
      <c r="G39" s="1053"/>
      <c r="H39" s="1053">
        <f t="shared" ref="H39:H49" si="10">INT(G39*C39)</f>
        <v>0</v>
      </c>
      <c r="I39" s="1053"/>
      <c r="J39" s="1053">
        <f t="shared" ref="J39:J49" si="11">INT(I39*C39)</f>
        <v>0</v>
      </c>
      <c r="K39" s="1061">
        <f t="shared" ref="K39:K53" si="12">+J39+H39+F39</f>
        <v>184800</v>
      </c>
    </row>
    <row r="40" spans="1:11" ht="26.1" customHeight="1">
      <c r="A40" s="1057" t="s">
        <v>176</v>
      </c>
      <c r="B40" s="1058" t="s">
        <v>177</v>
      </c>
      <c r="C40" s="1071">
        <v>40</v>
      </c>
      <c r="D40" s="1058" t="s">
        <v>1199</v>
      </c>
      <c r="E40" s="1060">
        <f ca="1">'8.0자재단가'!I63</f>
        <v>40</v>
      </c>
      <c r="F40" s="1060">
        <f t="shared" si="9"/>
        <v>1600</v>
      </c>
      <c r="G40" s="1053"/>
      <c r="H40" s="1053">
        <f t="shared" si="10"/>
        <v>0</v>
      </c>
      <c r="I40" s="1053"/>
      <c r="J40" s="1053">
        <f t="shared" si="11"/>
        <v>0</v>
      </c>
      <c r="K40" s="1061">
        <f t="shared" si="12"/>
        <v>1600</v>
      </c>
    </row>
    <row r="41" spans="1:11" ht="26.1" customHeight="1">
      <c r="A41" s="1057" t="s">
        <v>800</v>
      </c>
      <c r="B41" s="474" t="s">
        <v>783</v>
      </c>
      <c r="C41" s="1071">
        <v>0.2</v>
      </c>
      <c r="D41" s="1058" t="s">
        <v>767</v>
      </c>
      <c r="E41" s="1060">
        <f ca="1">'8.0자재단가'!I64</f>
        <v>170000</v>
      </c>
      <c r="F41" s="1060">
        <f t="shared" si="9"/>
        <v>34000</v>
      </c>
      <c r="G41" s="1053"/>
      <c r="H41" s="1053">
        <f t="shared" si="10"/>
        <v>0</v>
      </c>
      <c r="I41" s="1053"/>
      <c r="J41" s="1053">
        <f t="shared" si="11"/>
        <v>0</v>
      </c>
      <c r="K41" s="1061">
        <f t="shared" si="12"/>
        <v>34000</v>
      </c>
    </row>
    <row r="42" spans="1:11" ht="26.1" customHeight="1">
      <c r="A42" s="1057" t="s">
        <v>970</v>
      </c>
      <c r="B42" s="1058"/>
      <c r="C42" s="1072">
        <v>3.4000000000000002E-2</v>
      </c>
      <c r="D42" s="1058" t="s">
        <v>820</v>
      </c>
      <c r="E42" s="1053"/>
      <c r="F42" s="1053">
        <f t="shared" si="9"/>
        <v>0</v>
      </c>
      <c r="G42" s="1053">
        <f t="shared" ref="G42:G48" si="13">G24</f>
        <v>92218</v>
      </c>
      <c r="H42" s="1060">
        <f t="shared" si="10"/>
        <v>3135</v>
      </c>
      <c r="I42" s="1053"/>
      <c r="J42" s="1053">
        <f t="shared" si="11"/>
        <v>0</v>
      </c>
      <c r="K42" s="1061">
        <f t="shared" si="12"/>
        <v>3135</v>
      </c>
    </row>
    <row r="43" spans="1:11" ht="26.1" customHeight="1">
      <c r="A43" s="1057" t="s">
        <v>967</v>
      </c>
      <c r="B43" s="1058"/>
      <c r="C43" s="1072">
        <v>6.7000000000000004E-2</v>
      </c>
      <c r="D43" s="1058" t="s">
        <v>820</v>
      </c>
      <c r="E43" s="1053"/>
      <c r="F43" s="1053">
        <f t="shared" si="9"/>
        <v>0</v>
      </c>
      <c r="G43" s="1053">
        <f t="shared" si="13"/>
        <v>84404</v>
      </c>
      <c r="H43" s="1060">
        <f t="shared" si="10"/>
        <v>5655</v>
      </c>
      <c r="I43" s="1053"/>
      <c r="J43" s="1053">
        <f t="shared" si="11"/>
        <v>0</v>
      </c>
      <c r="K43" s="1061">
        <f t="shared" si="12"/>
        <v>5655</v>
      </c>
    </row>
    <row r="44" spans="1:11" ht="26.1" customHeight="1">
      <c r="A44" s="1057" t="s">
        <v>971</v>
      </c>
      <c r="B44" s="1058"/>
      <c r="C44" s="1072">
        <v>0.17799999999999999</v>
      </c>
      <c r="D44" s="1058" t="s">
        <v>820</v>
      </c>
      <c r="E44" s="1053"/>
      <c r="F44" s="1053">
        <f t="shared" si="9"/>
        <v>0</v>
      </c>
      <c r="G44" s="1053">
        <f t="shared" si="13"/>
        <v>68965</v>
      </c>
      <c r="H44" s="1060">
        <f t="shared" si="10"/>
        <v>12275</v>
      </c>
      <c r="I44" s="1053"/>
      <c r="J44" s="1053">
        <f t="shared" si="11"/>
        <v>0</v>
      </c>
      <c r="K44" s="1061">
        <f t="shared" si="12"/>
        <v>12275</v>
      </c>
    </row>
    <row r="45" spans="1:11" ht="26.1" customHeight="1">
      <c r="A45" s="1057" t="s">
        <v>768</v>
      </c>
      <c r="B45" s="1058" t="s">
        <v>2044</v>
      </c>
      <c r="C45" s="1072">
        <v>0.20300000000000001</v>
      </c>
      <c r="D45" s="1058" t="s">
        <v>1179</v>
      </c>
      <c r="E45" s="1060">
        <f>E27</f>
        <v>8332</v>
      </c>
      <c r="F45" s="1060">
        <f t="shared" si="9"/>
        <v>1691</v>
      </c>
      <c r="G45" s="1060">
        <f t="shared" si="13"/>
        <v>14915</v>
      </c>
      <c r="H45" s="1060">
        <f t="shared" si="10"/>
        <v>3027</v>
      </c>
      <c r="I45" s="1060">
        <f>I27</f>
        <v>63069</v>
      </c>
      <c r="J45" s="1060">
        <f t="shared" si="11"/>
        <v>12803</v>
      </c>
      <c r="K45" s="1061">
        <f t="shared" si="12"/>
        <v>17521</v>
      </c>
    </row>
    <row r="46" spans="1:11" ht="26.1" customHeight="1">
      <c r="A46" s="1057" t="s">
        <v>769</v>
      </c>
      <c r="B46" s="1058" t="s">
        <v>770</v>
      </c>
      <c r="C46" s="1072">
        <v>0.20300000000000001</v>
      </c>
      <c r="D46" s="1058" t="s">
        <v>1179</v>
      </c>
      <c r="E46" s="1060">
        <f>E28</f>
        <v>6640</v>
      </c>
      <c r="F46" s="1060">
        <f t="shared" si="9"/>
        <v>1347</v>
      </c>
      <c r="G46" s="1060">
        <f t="shared" si="13"/>
        <v>17696</v>
      </c>
      <c r="H46" s="1060">
        <f t="shared" si="10"/>
        <v>3592</v>
      </c>
      <c r="I46" s="1060">
        <f>I28</f>
        <v>10362</v>
      </c>
      <c r="J46" s="1060">
        <f t="shared" si="11"/>
        <v>2103</v>
      </c>
      <c r="K46" s="1061">
        <f t="shared" si="12"/>
        <v>7042</v>
      </c>
    </row>
    <row r="47" spans="1:11" ht="26.1" customHeight="1">
      <c r="A47" s="1057" t="s">
        <v>817</v>
      </c>
      <c r="B47" s="1058" t="s">
        <v>771</v>
      </c>
      <c r="C47" s="1072">
        <v>0.20300000000000001</v>
      </c>
      <c r="D47" s="1058" t="s">
        <v>1179</v>
      </c>
      <c r="E47" s="1060">
        <f>E29</f>
        <v>11978</v>
      </c>
      <c r="F47" s="1060">
        <f t="shared" si="9"/>
        <v>2431</v>
      </c>
      <c r="G47" s="1060">
        <f t="shared" si="13"/>
        <v>17696</v>
      </c>
      <c r="H47" s="1060">
        <f t="shared" si="10"/>
        <v>3592</v>
      </c>
      <c r="I47" s="1060">
        <f>I29</f>
        <v>6117</v>
      </c>
      <c r="J47" s="1060">
        <f t="shared" si="11"/>
        <v>1241</v>
      </c>
      <c r="K47" s="1061">
        <f t="shared" si="12"/>
        <v>7264</v>
      </c>
    </row>
    <row r="48" spans="1:11" ht="26.1" customHeight="1">
      <c r="A48" s="1057" t="s">
        <v>772</v>
      </c>
      <c r="B48" s="1058" t="s">
        <v>773</v>
      </c>
      <c r="C48" s="1072">
        <v>0.48499999999999999</v>
      </c>
      <c r="D48" s="1058" t="s">
        <v>1179</v>
      </c>
      <c r="E48" s="1060">
        <f>E30</f>
        <v>13117</v>
      </c>
      <c r="F48" s="1060">
        <f t="shared" si="9"/>
        <v>6361</v>
      </c>
      <c r="G48" s="1060">
        <f t="shared" si="13"/>
        <v>17696</v>
      </c>
      <c r="H48" s="1060">
        <f t="shared" si="10"/>
        <v>8582</v>
      </c>
      <c r="I48" s="1060">
        <f>I30</f>
        <v>7823</v>
      </c>
      <c r="J48" s="1060">
        <f t="shared" si="11"/>
        <v>3794</v>
      </c>
      <c r="K48" s="1061">
        <f t="shared" si="12"/>
        <v>18737</v>
      </c>
    </row>
    <row r="49" spans="1:11" ht="26.1" customHeight="1">
      <c r="A49" s="1057" t="s">
        <v>774</v>
      </c>
      <c r="B49" s="1058" t="s">
        <v>775</v>
      </c>
      <c r="C49" s="1072">
        <v>0.20300000000000001</v>
      </c>
      <c r="D49" s="1058" t="s">
        <v>1179</v>
      </c>
      <c r="E49" s="1053"/>
      <c r="F49" s="1053">
        <f t="shared" si="9"/>
        <v>0</v>
      </c>
      <c r="G49" s="1053"/>
      <c r="H49" s="1053">
        <f t="shared" si="10"/>
        <v>0</v>
      </c>
      <c r="I49" s="1060">
        <f>I31</f>
        <v>77</v>
      </c>
      <c r="J49" s="1060">
        <f t="shared" si="11"/>
        <v>15</v>
      </c>
      <c r="K49" s="1061">
        <f t="shared" si="12"/>
        <v>15</v>
      </c>
    </row>
    <row r="50" spans="1:11" ht="26.1" customHeight="1">
      <c r="A50" s="1057" t="s">
        <v>1210</v>
      </c>
      <c r="B50" s="1058" t="s">
        <v>776</v>
      </c>
      <c r="C50" s="1076">
        <v>1</v>
      </c>
      <c r="D50" s="1058" t="s">
        <v>1219</v>
      </c>
      <c r="E50" s="1053"/>
      <c r="F50" s="1060">
        <f>INT(SUM(F39:F49)*0.03)</f>
        <v>6966</v>
      </c>
      <c r="G50" s="1053"/>
      <c r="H50" s="1053"/>
      <c r="I50" s="1060"/>
      <c r="J50" s="1060"/>
      <c r="K50" s="1061">
        <f t="shared" si="12"/>
        <v>6966</v>
      </c>
    </row>
    <row r="51" spans="1:11" ht="26.1" customHeight="1">
      <c r="A51" s="1057" t="s">
        <v>1212</v>
      </c>
      <c r="B51" s="1058" t="s">
        <v>777</v>
      </c>
      <c r="C51" s="1076">
        <v>1</v>
      </c>
      <c r="D51" s="1058" t="s">
        <v>1219</v>
      </c>
      <c r="E51" s="1053"/>
      <c r="F51" s="1053">
        <v>609</v>
      </c>
      <c r="G51" s="1053"/>
      <c r="H51" s="1060"/>
      <c r="I51" s="1060"/>
      <c r="J51" s="1060"/>
      <c r="K51" s="1061">
        <f t="shared" si="12"/>
        <v>609</v>
      </c>
    </row>
    <row r="52" spans="1:11" ht="26.1" customHeight="1">
      <c r="A52" s="1074" t="s">
        <v>179</v>
      </c>
      <c r="B52" s="474" t="s">
        <v>797</v>
      </c>
      <c r="C52" s="1075">
        <v>1</v>
      </c>
      <c r="D52" s="474" t="s">
        <v>788</v>
      </c>
      <c r="E52" s="1053"/>
      <c r="F52" s="1053">
        <v>10918</v>
      </c>
      <c r="G52" s="1053"/>
      <c r="H52" s="1053">
        <v>17079</v>
      </c>
      <c r="I52" s="1053"/>
      <c r="J52" s="1053">
        <v>0</v>
      </c>
      <c r="K52" s="1061">
        <f t="shared" si="12"/>
        <v>27997</v>
      </c>
    </row>
    <row r="53" spans="1:11" ht="26.1" customHeight="1">
      <c r="A53" s="1057" t="s">
        <v>786</v>
      </c>
      <c r="B53" s="1058"/>
      <c r="C53" s="1076"/>
      <c r="D53" s="1058"/>
      <c r="E53" s="1053"/>
      <c r="F53" s="1060">
        <f>SUM(F39:F52)</f>
        <v>250723</v>
      </c>
      <c r="G53" s="1053"/>
      <c r="H53" s="1060">
        <f>SUM(H39:H52)</f>
        <v>56937</v>
      </c>
      <c r="I53" s="1060"/>
      <c r="J53" s="1060">
        <f>SUM(J39:J52)</f>
        <v>19956</v>
      </c>
      <c r="K53" s="1061">
        <f t="shared" si="12"/>
        <v>327616</v>
      </c>
    </row>
    <row r="54" spans="1:11" ht="26.1" customHeight="1">
      <c r="A54" s="1725">
        <f>INT(K53/10)</f>
        <v>32761</v>
      </c>
      <c r="B54" s="1726"/>
      <c r="C54" s="1726"/>
      <c r="D54" s="1726"/>
      <c r="E54" s="1726"/>
      <c r="F54" s="1726"/>
      <c r="G54" s="1726"/>
      <c r="H54" s="1726"/>
      <c r="I54" s="1726"/>
      <c r="J54" s="1726"/>
      <c r="K54" s="1727"/>
    </row>
    <row r="55" spans="1:11" ht="26.1" customHeight="1">
      <c r="A55" s="1064"/>
      <c r="B55" s="1065"/>
      <c r="C55" s="1077"/>
      <c r="D55" s="1065"/>
      <c r="E55" s="1067"/>
      <c r="F55" s="1067"/>
      <c r="G55" s="1067"/>
      <c r="H55" s="1067"/>
      <c r="I55" s="1067"/>
      <c r="J55" s="1067"/>
      <c r="K55" s="1068"/>
    </row>
    <row r="56" spans="1:11" ht="26.85" customHeight="1">
      <c r="A56" s="1732" t="s">
        <v>180</v>
      </c>
      <c r="B56" s="1733"/>
      <c r="C56" s="1733"/>
      <c r="D56" s="1733"/>
      <c r="E56" s="1733"/>
      <c r="F56" s="1733"/>
      <c r="G56" s="1069"/>
      <c r="H56" s="1069"/>
      <c r="I56" s="1069"/>
      <c r="J56" s="1069"/>
      <c r="K56" s="1070"/>
    </row>
    <row r="57" spans="1:11" ht="26.85" customHeight="1">
      <c r="A57" s="1057" t="s">
        <v>779</v>
      </c>
      <c r="B57" s="1058" t="s">
        <v>780</v>
      </c>
      <c r="C57" s="1071">
        <v>330</v>
      </c>
      <c r="D57" s="1058" t="s">
        <v>766</v>
      </c>
      <c r="E57" s="1060">
        <f ca="1">'8.0자재단가'!I62</f>
        <v>840</v>
      </c>
      <c r="F57" s="1060">
        <f t="shared" ref="F57:F67" si="14">INT(E57*C57)</f>
        <v>277200</v>
      </c>
      <c r="G57" s="1053"/>
      <c r="H57" s="1053">
        <f t="shared" ref="H57:H67" si="15">INT(G57*C57)</f>
        <v>0</v>
      </c>
      <c r="I57" s="1053"/>
      <c r="J57" s="1053">
        <f t="shared" ref="J57:J67" si="16">INT(I57*C57)</f>
        <v>0</v>
      </c>
      <c r="K57" s="1061">
        <f t="shared" ref="K57:K71" si="17">+J57+H57+F57</f>
        <v>277200</v>
      </c>
    </row>
    <row r="58" spans="1:11" ht="26.85" customHeight="1">
      <c r="A58" s="1057" t="s">
        <v>176</v>
      </c>
      <c r="B58" s="1058" t="s">
        <v>177</v>
      </c>
      <c r="C58" s="1071">
        <v>60</v>
      </c>
      <c r="D58" s="1058" t="s">
        <v>1199</v>
      </c>
      <c r="E58" s="1060">
        <f ca="1">'8.0자재단가'!I63</f>
        <v>40</v>
      </c>
      <c r="F58" s="1060">
        <f t="shared" si="14"/>
        <v>2400</v>
      </c>
      <c r="G58" s="1053"/>
      <c r="H58" s="1053">
        <f t="shared" si="15"/>
        <v>0</v>
      </c>
      <c r="I58" s="1053"/>
      <c r="J58" s="1053">
        <f t="shared" si="16"/>
        <v>0</v>
      </c>
      <c r="K58" s="1061">
        <f t="shared" si="17"/>
        <v>2400</v>
      </c>
    </row>
    <row r="59" spans="1:11" ht="26.85" customHeight="1">
      <c r="A59" s="1057" t="s">
        <v>800</v>
      </c>
      <c r="B59" s="474" t="s">
        <v>783</v>
      </c>
      <c r="C59" s="1071">
        <v>0.2</v>
      </c>
      <c r="D59" s="1058" t="s">
        <v>767</v>
      </c>
      <c r="E59" s="1060">
        <f ca="1">'8.0자재단가'!I64</f>
        <v>170000</v>
      </c>
      <c r="F59" s="1060">
        <f t="shared" si="14"/>
        <v>34000</v>
      </c>
      <c r="G59" s="1053"/>
      <c r="H59" s="1053">
        <f t="shared" si="15"/>
        <v>0</v>
      </c>
      <c r="I59" s="1053"/>
      <c r="J59" s="1053">
        <f t="shared" si="16"/>
        <v>0</v>
      </c>
      <c r="K59" s="1061">
        <f t="shared" si="17"/>
        <v>34000</v>
      </c>
    </row>
    <row r="60" spans="1:11" ht="26.85" customHeight="1">
      <c r="A60" s="1057" t="s">
        <v>970</v>
      </c>
      <c r="B60" s="1058"/>
      <c r="C60" s="1072">
        <v>4.5999999999999999E-2</v>
      </c>
      <c r="D60" s="1058" t="s">
        <v>820</v>
      </c>
      <c r="E60" s="1053"/>
      <c r="F60" s="1053">
        <f t="shared" si="14"/>
        <v>0</v>
      </c>
      <c r="G60" s="1053">
        <f t="shared" ref="G60:G66" si="18">G42</f>
        <v>92218</v>
      </c>
      <c r="H60" s="1060">
        <f t="shared" si="15"/>
        <v>4242</v>
      </c>
      <c r="I60" s="1053"/>
      <c r="J60" s="1053">
        <f t="shared" si="16"/>
        <v>0</v>
      </c>
      <c r="K60" s="1061">
        <f t="shared" si="17"/>
        <v>4242</v>
      </c>
    </row>
    <row r="61" spans="1:11" ht="26.85" customHeight="1">
      <c r="A61" s="1057" t="s">
        <v>967</v>
      </c>
      <c r="B61" s="1058"/>
      <c r="C61" s="1072">
        <v>9.0999999999999998E-2</v>
      </c>
      <c r="D61" s="1058" t="s">
        <v>820</v>
      </c>
      <c r="E61" s="1053"/>
      <c r="F61" s="1053">
        <f t="shared" si="14"/>
        <v>0</v>
      </c>
      <c r="G61" s="1053">
        <f t="shared" si="18"/>
        <v>84404</v>
      </c>
      <c r="H61" s="1060">
        <f t="shared" si="15"/>
        <v>7680</v>
      </c>
      <c r="I61" s="1053"/>
      <c r="J61" s="1053">
        <f t="shared" si="16"/>
        <v>0</v>
      </c>
      <c r="K61" s="1061">
        <f t="shared" si="17"/>
        <v>7680</v>
      </c>
    </row>
    <row r="62" spans="1:11" ht="26.85" customHeight="1">
      <c r="A62" s="1057" t="s">
        <v>971</v>
      </c>
      <c r="B62" s="1058"/>
      <c r="C62" s="1072">
        <v>0.223</v>
      </c>
      <c r="D62" s="1058" t="s">
        <v>820</v>
      </c>
      <c r="E62" s="1053"/>
      <c r="F62" s="1053">
        <f t="shared" si="14"/>
        <v>0</v>
      </c>
      <c r="G62" s="1053">
        <f t="shared" si="18"/>
        <v>68965</v>
      </c>
      <c r="H62" s="1060">
        <f t="shared" si="15"/>
        <v>15379</v>
      </c>
      <c r="I62" s="1053"/>
      <c r="J62" s="1053">
        <f t="shared" si="16"/>
        <v>0</v>
      </c>
      <c r="K62" s="1061">
        <f t="shared" si="17"/>
        <v>15379</v>
      </c>
    </row>
    <row r="63" spans="1:11" ht="26.85" customHeight="1">
      <c r="A63" s="1057" t="s">
        <v>768</v>
      </c>
      <c r="B63" s="1058" t="s">
        <v>2044</v>
      </c>
      <c r="C63" s="1072">
        <v>0.27700000000000002</v>
      </c>
      <c r="D63" s="1058" t="s">
        <v>1179</v>
      </c>
      <c r="E63" s="1060">
        <f>E45</f>
        <v>8332</v>
      </c>
      <c r="F63" s="1060">
        <f t="shared" si="14"/>
        <v>2307</v>
      </c>
      <c r="G63" s="1060">
        <f t="shared" si="18"/>
        <v>14915</v>
      </c>
      <c r="H63" s="1060">
        <f t="shared" si="15"/>
        <v>4131</v>
      </c>
      <c r="I63" s="1060">
        <f>I45</f>
        <v>63069</v>
      </c>
      <c r="J63" s="1060">
        <f t="shared" si="16"/>
        <v>17470</v>
      </c>
      <c r="K63" s="1061">
        <f t="shared" si="17"/>
        <v>23908</v>
      </c>
    </row>
    <row r="64" spans="1:11" ht="26.85" customHeight="1">
      <c r="A64" s="1057" t="s">
        <v>769</v>
      </c>
      <c r="B64" s="1058" t="s">
        <v>770</v>
      </c>
      <c r="C64" s="1072">
        <v>0.27700000000000002</v>
      </c>
      <c r="D64" s="1058" t="s">
        <v>1179</v>
      </c>
      <c r="E64" s="1060">
        <f>E46</f>
        <v>6640</v>
      </c>
      <c r="F64" s="1060">
        <f t="shared" si="14"/>
        <v>1839</v>
      </c>
      <c r="G64" s="1060">
        <f t="shared" si="18"/>
        <v>17696</v>
      </c>
      <c r="H64" s="1060">
        <f t="shared" si="15"/>
        <v>4901</v>
      </c>
      <c r="I64" s="1060">
        <f>I46</f>
        <v>10362</v>
      </c>
      <c r="J64" s="1060">
        <f t="shared" si="16"/>
        <v>2870</v>
      </c>
      <c r="K64" s="1061">
        <f t="shared" si="17"/>
        <v>9610</v>
      </c>
    </row>
    <row r="65" spans="1:11" ht="26.85" customHeight="1">
      <c r="A65" s="1057" t="s">
        <v>817</v>
      </c>
      <c r="B65" s="1058" t="s">
        <v>771</v>
      </c>
      <c r="C65" s="1072">
        <v>0.27700000000000002</v>
      </c>
      <c r="D65" s="1058" t="s">
        <v>1179</v>
      </c>
      <c r="E65" s="1060">
        <f>E47</f>
        <v>11978</v>
      </c>
      <c r="F65" s="1060">
        <f t="shared" si="14"/>
        <v>3317</v>
      </c>
      <c r="G65" s="1060">
        <f t="shared" si="18"/>
        <v>17696</v>
      </c>
      <c r="H65" s="1060">
        <f t="shared" si="15"/>
        <v>4901</v>
      </c>
      <c r="I65" s="1060">
        <f>I47</f>
        <v>6117</v>
      </c>
      <c r="J65" s="1060">
        <f t="shared" si="16"/>
        <v>1694</v>
      </c>
      <c r="K65" s="1061">
        <f t="shared" si="17"/>
        <v>9912</v>
      </c>
    </row>
    <row r="66" spans="1:11" ht="26.85" customHeight="1">
      <c r="A66" s="1057" t="s">
        <v>772</v>
      </c>
      <c r="B66" s="1058" t="s">
        <v>773</v>
      </c>
      <c r="C66" s="1072">
        <v>0.55400000000000005</v>
      </c>
      <c r="D66" s="1058" t="s">
        <v>1179</v>
      </c>
      <c r="E66" s="1060">
        <f>E48</f>
        <v>13117</v>
      </c>
      <c r="F66" s="1060">
        <f t="shared" si="14"/>
        <v>7266</v>
      </c>
      <c r="G66" s="1060">
        <f t="shared" si="18"/>
        <v>17696</v>
      </c>
      <c r="H66" s="1060">
        <f t="shared" si="15"/>
        <v>9803</v>
      </c>
      <c r="I66" s="1060">
        <f>I48</f>
        <v>7823</v>
      </c>
      <c r="J66" s="1060">
        <f t="shared" si="16"/>
        <v>4333</v>
      </c>
      <c r="K66" s="1061">
        <f t="shared" si="17"/>
        <v>21402</v>
      </c>
    </row>
    <row r="67" spans="1:11" ht="26.85" customHeight="1">
      <c r="A67" s="1057" t="s">
        <v>774</v>
      </c>
      <c r="B67" s="1058" t="s">
        <v>775</v>
      </c>
      <c r="C67" s="1072">
        <v>0.27700000000000002</v>
      </c>
      <c r="D67" s="1058" t="s">
        <v>1179</v>
      </c>
      <c r="E67" s="1053"/>
      <c r="F67" s="1053">
        <f t="shared" si="14"/>
        <v>0</v>
      </c>
      <c r="G67" s="1053"/>
      <c r="H67" s="1053">
        <f t="shared" si="15"/>
        <v>0</v>
      </c>
      <c r="I67" s="1060">
        <v>77</v>
      </c>
      <c r="J67" s="1060">
        <f t="shared" si="16"/>
        <v>21</v>
      </c>
      <c r="K67" s="1061">
        <f t="shared" si="17"/>
        <v>21</v>
      </c>
    </row>
    <row r="68" spans="1:11" ht="26.85" customHeight="1">
      <c r="A68" s="1057" t="s">
        <v>1210</v>
      </c>
      <c r="B68" s="1058" t="s">
        <v>776</v>
      </c>
      <c r="C68" s="1076">
        <v>1</v>
      </c>
      <c r="D68" s="1058" t="s">
        <v>1219</v>
      </c>
      <c r="E68" s="1053"/>
      <c r="F68" s="1060">
        <f>INT(SUM(F57:F67)*0.03)</f>
        <v>9849</v>
      </c>
      <c r="G68" s="1053"/>
      <c r="H68" s="1053"/>
      <c r="I68" s="1060"/>
      <c r="J68" s="1060"/>
      <c r="K68" s="1061">
        <f t="shared" si="17"/>
        <v>9849</v>
      </c>
    </row>
    <row r="69" spans="1:11" ht="26.85" customHeight="1">
      <c r="A69" s="1057" t="s">
        <v>1212</v>
      </c>
      <c r="B69" s="1058" t="s">
        <v>777</v>
      </c>
      <c r="C69" s="1076">
        <v>1</v>
      </c>
      <c r="D69" s="1058" t="s">
        <v>1219</v>
      </c>
      <c r="E69" s="1053"/>
      <c r="F69" s="1053">
        <v>781</v>
      </c>
      <c r="G69" s="1053"/>
      <c r="H69" s="1060"/>
      <c r="I69" s="1060"/>
      <c r="J69" s="1060"/>
      <c r="K69" s="1061">
        <f t="shared" si="17"/>
        <v>781</v>
      </c>
    </row>
    <row r="70" spans="1:11" ht="26.85" customHeight="1">
      <c r="A70" s="1057" t="s">
        <v>181</v>
      </c>
      <c r="B70" s="474" t="s">
        <v>798</v>
      </c>
      <c r="C70" s="1076">
        <v>1</v>
      </c>
      <c r="D70" s="1058" t="s">
        <v>788</v>
      </c>
      <c r="E70" s="1053"/>
      <c r="F70" s="1053">
        <v>36754</v>
      </c>
      <c r="G70" s="1053"/>
      <c r="H70" s="1053">
        <v>52230</v>
      </c>
      <c r="I70" s="1053"/>
      <c r="J70" s="1053">
        <v>888</v>
      </c>
      <c r="K70" s="1061">
        <f t="shared" si="17"/>
        <v>89872</v>
      </c>
    </row>
    <row r="71" spans="1:11" ht="24" customHeight="1">
      <c r="A71" s="1057" t="s">
        <v>786</v>
      </c>
      <c r="B71" s="1058"/>
      <c r="C71" s="1076"/>
      <c r="D71" s="1058"/>
      <c r="E71" s="1053"/>
      <c r="F71" s="1060">
        <f>SUM(F57:F70)</f>
        <v>375713</v>
      </c>
      <c r="G71" s="1078"/>
      <c r="H71" s="1060">
        <f>SUM(H57:H70)</f>
        <v>103267</v>
      </c>
      <c r="I71" s="1078"/>
      <c r="J71" s="1060">
        <f>SUM(J57:J70)</f>
        <v>27276</v>
      </c>
      <c r="K71" s="1061">
        <f t="shared" si="17"/>
        <v>506256</v>
      </c>
    </row>
    <row r="72" spans="1:11" ht="24" customHeight="1">
      <c r="A72" s="1722">
        <f>INT(K71/10)</f>
        <v>50625</v>
      </c>
      <c r="B72" s="1723"/>
      <c r="C72" s="1723"/>
      <c r="D72" s="1723"/>
      <c r="E72" s="1723"/>
      <c r="F72" s="1723"/>
      <c r="G72" s="1723"/>
      <c r="H72" s="1723"/>
      <c r="I72" s="1723"/>
      <c r="J72" s="1723"/>
      <c r="K72" s="1724"/>
    </row>
    <row r="73" spans="1:11" ht="24" customHeight="1">
      <c r="A73" s="1064"/>
      <c r="B73" s="1065"/>
      <c r="C73" s="1077"/>
      <c r="D73" s="1065"/>
      <c r="E73" s="1067"/>
      <c r="F73" s="1067"/>
      <c r="G73" s="1067"/>
      <c r="H73" s="1067"/>
      <c r="I73" s="1079"/>
      <c r="J73" s="1079"/>
      <c r="K73" s="1068"/>
    </row>
    <row r="74" spans="1:11" ht="26.85" customHeight="1">
      <c r="A74" s="1728" t="s">
        <v>792</v>
      </c>
      <c r="B74" s="1729"/>
      <c r="C74" s="1729"/>
      <c r="D74" s="1729"/>
      <c r="E74" s="1729"/>
      <c r="F74" s="1729"/>
      <c r="G74" s="1053"/>
      <c r="H74" s="1053"/>
      <c r="I74" s="1053"/>
      <c r="J74" s="1053"/>
      <c r="K74" s="1054"/>
    </row>
    <row r="75" spans="1:11" ht="26.85" customHeight="1">
      <c r="A75" s="1057" t="s">
        <v>779</v>
      </c>
      <c r="B75" s="1058" t="s">
        <v>780</v>
      </c>
      <c r="C75" s="1071">
        <v>550</v>
      </c>
      <c r="D75" s="1058" t="s">
        <v>766</v>
      </c>
      <c r="E75" s="1060">
        <f ca="1">'8.0자재단가'!I62</f>
        <v>840</v>
      </c>
      <c r="F75" s="1060">
        <f t="shared" ref="F75:F85" si="19">INT(E75*C75)</f>
        <v>462000</v>
      </c>
      <c r="G75" s="1053"/>
      <c r="H75" s="1053">
        <f t="shared" ref="H75:H85" si="20">INT(G75*C75)</f>
        <v>0</v>
      </c>
      <c r="I75" s="1053"/>
      <c r="J75" s="1053">
        <f t="shared" ref="J75:J85" si="21">INT(I75*C75)</f>
        <v>0</v>
      </c>
      <c r="K75" s="1061">
        <f t="shared" ref="K75:K89" si="22">+J75+H75+F75</f>
        <v>462000</v>
      </c>
    </row>
    <row r="76" spans="1:11" ht="26.85" customHeight="1">
      <c r="A76" s="1057" t="s">
        <v>176</v>
      </c>
      <c r="B76" s="1058" t="s">
        <v>177</v>
      </c>
      <c r="C76" s="1071">
        <v>100</v>
      </c>
      <c r="D76" s="1058" t="s">
        <v>1199</v>
      </c>
      <c r="E76" s="1060">
        <f ca="1">'8.0자재단가'!I63</f>
        <v>40</v>
      </c>
      <c r="F76" s="1060">
        <f t="shared" si="19"/>
        <v>4000</v>
      </c>
      <c r="G76" s="1053"/>
      <c r="H76" s="1053">
        <f t="shared" si="20"/>
        <v>0</v>
      </c>
      <c r="I76" s="1053"/>
      <c r="J76" s="1053">
        <f t="shared" si="21"/>
        <v>0</v>
      </c>
      <c r="K76" s="1061">
        <f t="shared" si="22"/>
        <v>4000</v>
      </c>
    </row>
    <row r="77" spans="1:11" ht="26.85" customHeight="1">
      <c r="A77" s="1057" t="s">
        <v>800</v>
      </c>
      <c r="B77" s="474" t="s">
        <v>783</v>
      </c>
      <c r="C77" s="1071">
        <v>0.2</v>
      </c>
      <c r="D77" s="1058" t="s">
        <v>767</v>
      </c>
      <c r="E77" s="1060">
        <f ca="1">'8.0자재단가'!I64</f>
        <v>170000</v>
      </c>
      <c r="F77" s="1060">
        <f t="shared" si="19"/>
        <v>34000</v>
      </c>
      <c r="G77" s="1053"/>
      <c r="H77" s="1053">
        <f t="shared" si="20"/>
        <v>0</v>
      </c>
      <c r="I77" s="1053"/>
      <c r="J77" s="1053">
        <f t="shared" si="21"/>
        <v>0</v>
      </c>
      <c r="K77" s="1061">
        <f t="shared" si="22"/>
        <v>34000</v>
      </c>
    </row>
    <row r="78" spans="1:11" ht="26.85" customHeight="1">
      <c r="A78" s="1057" t="s">
        <v>970</v>
      </c>
      <c r="B78" s="1058"/>
      <c r="C78" s="1072">
        <v>7.5999999999999998E-2</v>
      </c>
      <c r="D78" s="1058" t="s">
        <v>820</v>
      </c>
      <c r="E78" s="1053"/>
      <c r="F78" s="1053">
        <f t="shared" si="19"/>
        <v>0</v>
      </c>
      <c r="G78" s="1053">
        <f t="shared" ref="G78:G84" si="23">G60</f>
        <v>92218</v>
      </c>
      <c r="H78" s="1060">
        <f t="shared" si="20"/>
        <v>7008</v>
      </c>
      <c r="I78" s="1053"/>
      <c r="J78" s="1053">
        <f t="shared" si="21"/>
        <v>0</v>
      </c>
      <c r="K78" s="1061">
        <f t="shared" si="22"/>
        <v>7008</v>
      </c>
    </row>
    <row r="79" spans="1:11" ht="26.85" customHeight="1">
      <c r="A79" s="1057" t="s">
        <v>967</v>
      </c>
      <c r="B79" s="1058"/>
      <c r="C79" s="1072">
        <v>0.151</v>
      </c>
      <c r="D79" s="1058" t="s">
        <v>820</v>
      </c>
      <c r="E79" s="1053"/>
      <c r="F79" s="1053">
        <f t="shared" si="19"/>
        <v>0</v>
      </c>
      <c r="G79" s="1053">
        <f t="shared" si="23"/>
        <v>84404</v>
      </c>
      <c r="H79" s="1060">
        <f t="shared" si="20"/>
        <v>12745</v>
      </c>
      <c r="I79" s="1053"/>
      <c r="J79" s="1053">
        <f t="shared" si="21"/>
        <v>0</v>
      </c>
      <c r="K79" s="1061">
        <f t="shared" si="22"/>
        <v>12745</v>
      </c>
    </row>
    <row r="80" spans="1:11" ht="26.85" customHeight="1">
      <c r="A80" s="1057" t="s">
        <v>971</v>
      </c>
      <c r="B80" s="1058"/>
      <c r="C80" s="1072">
        <v>0.33500000000000002</v>
      </c>
      <c r="D80" s="1058" t="s">
        <v>820</v>
      </c>
      <c r="E80" s="1053"/>
      <c r="F80" s="1053">
        <f t="shared" si="19"/>
        <v>0</v>
      </c>
      <c r="G80" s="1053">
        <f t="shared" si="23"/>
        <v>68965</v>
      </c>
      <c r="H80" s="1060">
        <f t="shared" si="20"/>
        <v>23103</v>
      </c>
      <c r="I80" s="1053"/>
      <c r="J80" s="1053">
        <f t="shared" si="21"/>
        <v>0</v>
      </c>
      <c r="K80" s="1061">
        <f t="shared" si="22"/>
        <v>23103</v>
      </c>
    </row>
    <row r="81" spans="1:11" ht="26.85" customHeight="1">
      <c r="A81" s="1057" t="s">
        <v>768</v>
      </c>
      <c r="B81" s="1058" t="s">
        <v>2044</v>
      </c>
      <c r="C81" s="1072">
        <v>0.46100000000000002</v>
      </c>
      <c r="D81" s="1058" t="s">
        <v>1179</v>
      </c>
      <c r="E81" s="1060">
        <f>E63</f>
        <v>8332</v>
      </c>
      <c r="F81" s="1060">
        <f t="shared" si="19"/>
        <v>3841</v>
      </c>
      <c r="G81" s="1060">
        <f t="shared" si="23"/>
        <v>14915</v>
      </c>
      <c r="H81" s="1060">
        <f t="shared" si="20"/>
        <v>6875</v>
      </c>
      <c r="I81" s="1060">
        <f>I63</f>
        <v>63069</v>
      </c>
      <c r="J81" s="1060">
        <f t="shared" si="21"/>
        <v>29074</v>
      </c>
      <c r="K81" s="1061">
        <f t="shared" si="22"/>
        <v>39790</v>
      </c>
    </row>
    <row r="82" spans="1:11" ht="26.85" customHeight="1">
      <c r="A82" s="1057" t="s">
        <v>769</v>
      </c>
      <c r="B82" s="1058" t="s">
        <v>770</v>
      </c>
      <c r="C82" s="1072">
        <v>0.46100000000000002</v>
      </c>
      <c r="D82" s="1058" t="s">
        <v>1179</v>
      </c>
      <c r="E82" s="1060">
        <f>E64</f>
        <v>6640</v>
      </c>
      <c r="F82" s="1060">
        <f t="shared" si="19"/>
        <v>3061</v>
      </c>
      <c r="G82" s="1060">
        <f t="shared" si="23"/>
        <v>17696</v>
      </c>
      <c r="H82" s="1060">
        <f t="shared" si="20"/>
        <v>8157</v>
      </c>
      <c r="I82" s="1060">
        <f>I64</f>
        <v>10362</v>
      </c>
      <c r="J82" s="1060">
        <f t="shared" si="21"/>
        <v>4776</v>
      </c>
      <c r="K82" s="1061">
        <f t="shared" si="22"/>
        <v>15994</v>
      </c>
    </row>
    <row r="83" spans="1:11" ht="26.85" customHeight="1">
      <c r="A83" s="1057" t="s">
        <v>817</v>
      </c>
      <c r="B83" s="1058" t="s">
        <v>771</v>
      </c>
      <c r="C83" s="1072">
        <v>0.46100000000000002</v>
      </c>
      <c r="D83" s="1058" t="s">
        <v>1179</v>
      </c>
      <c r="E83" s="1060">
        <f>E65</f>
        <v>11978</v>
      </c>
      <c r="F83" s="1060">
        <f t="shared" si="19"/>
        <v>5521</v>
      </c>
      <c r="G83" s="1060">
        <f t="shared" si="23"/>
        <v>17696</v>
      </c>
      <c r="H83" s="1060">
        <f t="shared" si="20"/>
        <v>8157</v>
      </c>
      <c r="I83" s="1060">
        <f>I65</f>
        <v>6117</v>
      </c>
      <c r="J83" s="1060">
        <f t="shared" si="21"/>
        <v>2819</v>
      </c>
      <c r="K83" s="1061">
        <f t="shared" si="22"/>
        <v>16497</v>
      </c>
    </row>
    <row r="84" spans="1:11" ht="26.85" customHeight="1">
      <c r="A84" s="1057" t="s">
        <v>772</v>
      </c>
      <c r="B84" s="1058" t="s">
        <v>773</v>
      </c>
      <c r="C84" s="1072">
        <v>0.72799999999999998</v>
      </c>
      <c r="D84" s="1058" t="s">
        <v>1179</v>
      </c>
      <c r="E84" s="1060">
        <f>E66</f>
        <v>13117</v>
      </c>
      <c r="F84" s="1060">
        <f t="shared" si="19"/>
        <v>9549</v>
      </c>
      <c r="G84" s="1060">
        <f t="shared" si="23"/>
        <v>17696</v>
      </c>
      <c r="H84" s="1060">
        <f t="shared" si="20"/>
        <v>12882</v>
      </c>
      <c r="I84" s="1060">
        <f>I66</f>
        <v>7823</v>
      </c>
      <c r="J84" s="1060">
        <f t="shared" si="21"/>
        <v>5695</v>
      </c>
      <c r="K84" s="1061">
        <f t="shared" si="22"/>
        <v>28126</v>
      </c>
    </row>
    <row r="85" spans="1:11" ht="26.85" customHeight="1">
      <c r="A85" s="1057" t="s">
        <v>774</v>
      </c>
      <c r="B85" s="1058" t="s">
        <v>775</v>
      </c>
      <c r="C85" s="1072">
        <v>0.46100000000000002</v>
      </c>
      <c r="D85" s="1058" t="s">
        <v>1179</v>
      </c>
      <c r="E85" s="1053"/>
      <c r="F85" s="1053">
        <f t="shared" si="19"/>
        <v>0</v>
      </c>
      <c r="G85" s="1053"/>
      <c r="H85" s="1053">
        <f t="shared" si="20"/>
        <v>0</v>
      </c>
      <c r="I85" s="1060">
        <f>I67</f>
        <v>77</v>
      </c>
      <c r="J85" s="1060">
        <f t="shared" si="21"/>
        <v>35</v>
      </c>
      <c r="K85" s="1061">
        <f t="shared" si="22"/>
        <v>35</v>
      </c>
    </row>
    <row r="86" spans="1:11" ht="26.85" customHeight="1">
      <c r="A86" s="1057" t="s">
        <v>1210</v>
      </c>
      <c r="B86" s="1058" t="s">
        <v>776</v>
      </c>
      <c r="C86" s="1076">
        <v>1</v>
      </c>
      <c r="D86" s="1058" t="s">
        <v>1219</v>
      </c>
      <c r="E86" s="1053"/>
      <c r="F86" s="1060">
        <f>INT(SUM(F75:F85)*0.03)</f>
        <v>15659</v>
      </c>
      <c r="G86" s="1053"/>
      <c r="H86" s="1053"/>
      <c r="I86" s="1060"/>
      <c r="J86" s="1060"/>
      <c r="K86" s="1061">
        <f t="shared" si="22"/>
        <v>15659</v>
      </c>
    </row>
    <row r="87" spans="1:11" ht="26.85" customHeight="1">
      <c r="A87" s="1057" t="s">
        <v>1212</v>
      </c>
      <c r="B87" s="1058" t="s">
        <v>777</v>
      </c>
      <c r="C87" s="1076">
        <v>1</v>
      </c>
      <c r="D87" s="1058" t="s">
        <v>1219</v>
      </c>
      <c r="E87" s="1053"/>
      <c r="F87" s="1053">
        <v>1210</v>
      </c>
      <c r="G87" s="1053"/>
      <c r="H87" s="1060"/>
      <c r="I87" s="1060"/>
      <c r="J87" s="1060"/>
      <c r="K87" s="1061">
        <f t="shared" si="22"/>
        <v>1210</v>
      </c>
    </row>
    <row r="88" spans="1:11" ht="26.85" customHeight="1">
      <c r="A88" s="1057" t="s">
        <v>181</v>
      </c>
      <c r="B88" s="474" t="s">
        <v>798</v>
      </c>
      <c r="C88" s="1076">
        <v>1</v>
      </c>
      <c r="D88" s="1058" t="s">
        <v>788</v>
      </c>
      <c r="E88" s="1053"/>
      <c r="F88" s="1053">
        <v>36754</v>
      </c>
      <c r="G88" s="1053"/>
      <c r="H88" s="1053">
        <v>52230</v>
      </c>
      <c r="I88" s="1053"/>
      <c r="J88" s="1053">
        <v>888</v>
      </c>
      <c r="K88" s="1061">
        <f t="shared" si="22"/>
        <v>89872</v>
      </c>
    </row>
    <row r="89" spans="1:11" ht="26.85" customHeight="1">
      <c r="A89" s="1057" t="s">
        <v>786</v>
      </c>
      <c r="B89" s="1058"/>
      <c r="C89" s="1076"/>
      <c r="D89" s="1058"/>
      <c r="E89" s="1053"/>
      <c r="F89" s="1060">
        <f>SUM(F75:F88)</f>
        <v>575595</v>
      </c>
      <c r="G89" s="1080"/>
      <c r="H89" s="1060">
        <f>SUM(H75:H88)</f>
        <v>131157</v>
      </c>
      <c r="I89" s="1080"/>
      <c r="J89" s="1060">
        <f>SUM(J75:J88)</f>
        <v>43287</v>
      </c>
      <c r="K89" s="1061">
        <f t="shared" si="22"/>
        <v>750039</v>
      </c>
    </row>
    <row r="90" spans="1:11" ht="26.85" customHeight="1">
      <c r="A90" s="1722">
        <f>INT(K89/10)</f>
        <v>75003</v>
      </c>
      <c r="B90" s="1723"/>
      <c r="C90" s="1723"/>
      <c r="D90" s="1723"/>
      <c r="E90" s="1723"/>
      <c r="F90" s="1723"/>
      <c r="G90" s="1723"/>
      <c r="H90" s="1723"/>
      <c r="I90" s="1723"/>
      <c r="J90" s="1723"/>
      <c r="K90" s="1724"/>
    </row>
    <row r="91" spans="1:11" ht="26.85" customHeight="1">
      <c r="A91" s="1057"/>
      <c r="B91" s="1058"/>
      <c r="C91" s="1076"/>
      <c r="D91" s="1058"/>
      <c r="E91" s="1053"/>
      <c r="F91" s="1060"/>
      <c r="G91" s="1080"/>
      <c r="H91" s="1060"/>
      <c r="I91" s="1080"/>
      <c r="J91" s="1060"/>
      <c r="K91" s="1061"/>
    </row>
    <row r="92" spans="1:11" ht="26.85" customHeight="1">
      <c r="A92" s="1057"/>
      <c r="B92" s="1058"/>
      <c r="C92" s="1076"/>
      <c r="D92" s="1058"/>
      <c r="E92" s="1053"/>
      <c r="F92" s="1060"/>
      <c r="G92" s="1080"/>
      <c r="H92" s="1060"/>
      <c r="I92" s="1080"/>
      <c r="J92" s="1060"/>
      <c r="K92" s="1061"/>
    </row>
    <row r="93" spans="1:11" ht="26.85" customHeight="1">
      <c r="A93" s="1057"/>
      <c r="B93" s="1058"/>
      <c r="C93" s="1076"/>
      <c r="D93" s="1058"/>
      <c r="E93" s="1053"/>
      <c r="F93" s="1060"/>
      <c r="G93" s="1080"/>
      <c r="H93" s="1060"/>
      <c r="I93" s="1080"/>
      <c r="J93" s="1060"/>
      <c r="K93" s="1061"/>
    </row>
    <row r="94" spans="1:11" ht="26.85" customHeight="1">
      <c r="A94" s="1057"/>
      <c r="B94" s="1058"/>
      <c r="C94" s="1076"/>
      <c r="D94" s="1058"/>
      <c r="E94" s="1053"/>
      <c r="F94" s="1060"/>
      <c r="G94" s="1080"/>
      <c r="H94" s="1060"/>
      <c r="I94" s="1080"/>
      <c r="J94" s="1060"/>
      <c r="K94" s="1061"/>
    </row>
    <row r="95" spans="1:11" ht="26.85" customHeight="1">
      <c r="A95" s="1057"/>
      <c r="B95" s="1058"/>
      <c r="C95" s="1076"/>
      <c r="D95" s="1058"/>
      <c r="E95" s="1053"/>
      <c r="F95" s="1060"/>
      <c r="G95" s="1080"/>
      <c r="H95" s="1060"/>
      <c r="I95" s="1080"/>
      <c r="J95" s="1060"/>
      <c r="K95" s="1061"/>
    </row>
    <row r="96" spans="1:11" ht="26.85" customHeight="1">
      <c r="A96" s="1057"/>
      <c r="B96" s="1058"/>
      <c r="C96" s="1076"/>
      <c r="D96" s="1058"/>
      <c r="E96" s="1053"/>
      <c r="F96" s="1060"/>
      <c r="G96" s="1080"/>
      <c r="H96" s="1060"/>
      <c r="I96" s="1080"/>
      <c r="J96" s="1060"/>
      <c r="K96" s="1061"/>
    </row>
    <row r="97" spans="1:11" ht="26.85" customHeight="1">
      <c r="A97" s="1057"/>
      <c r="B97" s="1058"/>
      <c r="C97" s="1076"/>
      <c r="D97" s="1058"/>
      <c r="E97" s="1053"/>
      <c r="F97" s="1060"/>
      <c r="G97" s="1080"/>
      <c r="H97" s="1060"/>
      <c r="I97" s="1080"/>
      <c r="J97" s="1060"/>
      <c r="K97" s="1061"/>
    </row>
    <row r="98" spans="1:11" ht="26.85" customHeight="1">
      <c r="A98" s="1057"/>
      <c r="B98" s="1058"/>
      <c r="C98" s="1076"/>
      <c r="D98" s="1058"/>
      <c r="E98" s="1053"/>
      <c r="F98" s="1060"/>
      <c r="G98" s="1080"/>
      <c r="H98" s="1060"/>
      <c r="I98" s="1080"/>
      <c r="J98" s="1060"/>
      <c r="K98" s="1061"/>
    </row>
    <row r="99" spans="1:11" ht="26.85" customHeight="1">
      <c r="A99" s="1057"/>
      <c r="B99" s="1058"/>
      <c r="C99" s="1076"/>
      <c r="D99" s="1058"/>
      <c r="E99" s="1053"/>
      <c r="F99" s="1060"/>
      <c r="G99" s="1080"/>
      <c r="H99" s="1060"/>
      <c r="I99" s="1080"/>
      <c r="J99" s="1060"/>
      <c r="K99" s="1061"/>
    </row>
    <row r="100" spans="1:11" ht="26.85" customHeight="1">
      <c r="A100" s="1057"/>
      <c r="B100" s="1058"/>
      <c r="C100" s="1076"/>
      <c r="D100" s="1058"/>
      <c r="E100" s="1053"/>
      <c r="F100" s="1060"/>
      <c r="G100" s="1080"/>
      <c r="H100" s="1060"/>
      <c r="I100" s="1080"/>
      <c r="J100" s="1060"/>
      <c r="K100" s="1061"/>
    </row>
    <row r="101" spans="1:11" ht="26.85" customHeight="1">
      <c r="A101" s="1057"/>
      <c r="B101" s="1058"/>
      <c r="C101" s="1076"/>
      <c r="D101" s="1058"/>
      <c r="E101" s="1053"/>
      <c r="F101" s="1060"/>
      <c r="G101" s="1080"/>
      <c r="H101" s="1060"/>
      <c r="I101" s="1080"/>
      <c r="J101" s="1060"/>
      <c r="K101" s="1061"/>
    </row>
    <row r="102" spans="1:11" ht="26.85" customHeight="1">
      <c r="A102" s="1057"/>
      <c r="B102" s="1058"/>
      <c r="C102" s="1076"/>
      <c r="D102" s="1058"/>
      <c r="E102" s="1053"/>
      <c r="F102" s="1060"/>
      <c r="G102" s="1080"/>
      <c r="H102" s="1060"/>
      <c r="I102" s="1080"/>
      <c r="J102" s="1060"/>
      <c r="K102" s="1061"/>
    </row>
    <row r="103" spans="1:11" ht="26.85" customHeight="1">
      <c r="A103" s="1057"/>
      <c r="B103" s="1058"/>
      <c r="C103" s="1076"/>
      <c r="D103" s="1058"/>
      <c r="E103" s="1053"/>
      <c r="F103" s="1060"/>
      <c r="G103" s="1080"/>
      <c r="H103" s="1060"/>
      <c r="I103" s="1080"/>
      <c r="J103" s="1060"/>
      <c r="K103" s="1061"/>
    </row>
    <row r="104" spans="1:11" ht="26.85" customHeight="1">
      <c r="A104" s="1057"/>
      <c r="B104" s="1058"/>
      <c r="C104" s="1076"/>
      <c r="D104" s="1058"/>
      <c r="E104" s="1053"/>
      <c r="F104" s="1060"/>
      <c r="G104" s="1080"/>
      <c r="H104" s="1060"/>
      <c r="I104" s="1080"/>
      <c r="J104" s="1060"/>
      <c r="K104" s="1061"/>
    </row>
    <row r="105" spans="1:11" ht="26.85" customHeight="1">
      <c r="A105" s="1057"/>
      <c r="B105" s="1058"/>
      <c r="C105" s="1076"/>
      <c r="D105" s="1058"/>
      <c r="E105" s="1053"/>
      <c r="F105" s="1060"/>
      <c r="G105" s="1080"/>
      <c r="H105" s="1060"/>
      <c r="I105" s="1080"/>
      <c r="J105" s="1060"/>
      <c r="K105" s="1061"/>
    </row>
    <row r="106" spans="1:11" ht="26.85" customHeight="1">
      <c r="A106" s="1057"/>
      <c r="B106" s="1058"/>
      <c r="C106" s="1076"/>
      <c r="D106" s="1058"/>
      <c r="E106" s="1053"/>
      <c r="F106" s="1060"/>
      <c r="G106" s="1080"/>
      <c r="H106" s="1060"/>
      <c r="I106" s="1080"/>
      <c r="J106" s="1060"/>
      <c r="K106" s="1061"/>
    </row>
    <row r="107" spans="1:11" ht="26.85" customHeight="1">
      <c r="A107" s="1057"/>
      <c r="B107" s="1058"/>
      <c r="C107" s="1076"/>
      <c r="D107" s="1058"/>
      <c r="E107" s="1053"/>
      <c r="F107" s="1060"/>
      <c r="G107" s="1080"/>
      <c r="H107" s="1060"/>
      <c r="I107" s="1080"/>
      <c r="J107" s="1060"/>
      <c r="K107" s="1061"/>
    </row>
    <row r="108" spans="1:11" ht="26.85" customHeight="1">
      <c r="A108" s="1064"/>
      <c r="B108" s="1065"/>
      <c r="C108" s="1077"/>
      <c r="D108" s="1065"/>
      <c r="E108" s="1067"/>
      <c r="F108" s="1067"/>
      <c r="G108" s="1067"/>
      <c r="H108" s="1067"/>
      <c r="I108" s="1079"/>
      <c r="J108" s="1079"/>
      <c r="K108" s="1068"/>
    </row>
  </sheetData>
  <mergeCells count="17">
    <mergeCell ref="A20:F20"/>
    <mergeCell ref="B1:B2"/>
    <mergeCell ref="C1:C2"/>
    <mergeCell ref="D1:D2"/>
    <mergeCell ref="E1:F1"/>
    <mergeCell ref="I1:J1"/>
    <mergeCell ref="A18:K18"/>
    <mergeCell ref="A3:F3"/>
    <mergeCell ref="A1:A2"/>
    <mergeCell ref="G1:H1"/>
    <mergeCell ref="A90:K90"/>
    <mergeCell ref="A72:K72"/>
    <mergeCell ref="A36:K36"/>
    <mergeCell ref="A74:F74"/>
    <mergeCell ref="A38:F38"/>
    <mergeCell ref="A56:F56"/>
    <mergeCell ref="A54:K54"/>
  </mergeCells>
  <phoneticPr fontId="53" type="noConversion"/>
  <printOptions horizontalCentered="1"/>
  <pageMargins left="0.82677165354330717" right="0.55118110236220474" top="0.98425196850393704" bottom="0.86614173228346458" header="0.51181102362204722" footer="0.51181102362204722"/>
  <pageSetup paperSize="9" scale="70" orientation="portrait" horizontalDpi="4294967295" verticalDpi="300" r:id="rId1"/>
  <headerFooter alignWithMargins="0"/>
  <rowBreaks count="4" manualBreakCount="4">
    <brk id="19" max="10" man="1"/>
    <brk id="37" max="10" man="1"/>
    <brk id="55" max="10" man="1"/>
    <brk id="73" max="10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2199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enableFormatConditionsCalculation="0">
    <tabColor indexed="40"/>
  </sheetPr>
  <dimension ref="A1:O261"/>
  <sheetViews>
    <sheetView view="pageBreakPreview" zoomScale="90" zoomScaleSheetLayoutView="90" workbookViewId="0">
      <selection activeCell="A216" sqref="A216:K216"/>
    </sheetView>
  </sheetViews>
  <sheetFormatPr defaultRowHeight="13.5"/>
  <cols>
    <col min="1" max="1" width="10.77734375" style="908" customWidth="1"/>
    <col min="2" max="2" width="9.77734375" style="908" customWidth="1"/>
    <col min="3" max="3" width="4.77734375" style="908" customWidth="1"/>
    <col min="4" max="4" width="4.33203125" style="957" customWidth="1"/>
    <col min="5" max="5" width="7.33203125" style="957" customWidth="1"/>
    <col min="6" max="11" width="6.33203125" style="908" customWidth="1"/>
    <col min="12" max="14" width="8.88671875" style="963"/>
    <col min="15" max="16384" width="8.88671875" style="908"/>
  </cols>
  <sheetData>
    <row r="1" spans="1:14" ht="26.1" customHeight="1">
      <c r="A1" s="1748" t="s">
        <v>2045</v>
      </c>
      <c r="B1" s="1748"/>
      <c r="C1" s="1748"/>
      <c r="D1" s="1748"/>
      <c r="E1" s="1748"/>
      <c r="F1" s="1748"/>
      <c r="G1" s="1748"/>
      <c r="H1" s="1748"/>
      <c r="I1" s="1748"/>
      <c r="J1" s="1748"/>
      <c r="K1" s="1748"/>
    </row>
    <row r="2" spans="1:14" s="928" customFormat="1" ht="18" customHeight="1">
      <c r="A2" s="925"/>
      <c r="B2" s="925"/>
      <c r="C2" s="925"/>
      <c r="D2" s="926"/>
      <c r="E2" s="926"/>
      <c r="F2" s="925"/>
      <c r="G2" s="925"/>
      <c r="H2" s="925"/>
      <c r="I2" s="925"/>
      <c r="J2" s="925"/>
      <c r="K2" s="927" t="s">
        <v>1930</v>
      </c>
      <c r="L2" s="964"/>
      <c r="M2" s="964"/>
      <c r="N2" s="964"/>
    </row>
    <row r="3" spans="1:14" s="928" customFormat="1" ht="18" customHeight="1">
      <c r="A3" s="1689" t="s">
        <v>1931</v>
      </c>
      <c r="B3" s="1670" t="s">
        <v>1932</v>
      </c>
      <c r="C3" s="1670" t="s">
        <v>1933</v>
      </c>
      <c r="D3" s="1670" t="s">
        <v>1854</v>
      </c>
      <c r="E3" s="1672" t="s">
        <v>1934</v>
      </c>
      <c r="F3" s="1670" t="s">
        <v>1791</v>
      </c>
      <c r="G3" s="1670"/>
      <c r="H3" s="1670" t="s">
        <v>1792</v>
      </c>
      <c r="I3" s="1670"/>
      <c r="J3" s="1670" t="s">
        <v>1935</v>
      </c>
      <c r="K3" s="1674"/>
      <c r="L3" s="964"/>
      <c r="M3" s="964"/>
      <c r="N3" s="964"/>
    </row>
    <row r="4" spans="1:14" s="931" customFormat="1" ht="18" customHeight="1">
      <c r="A4" s="1690"/>
      <c r="B4" s="1671"/>
      <c r="C4" s="1671"/>
      <c r="D4" s="1671"/>
      <c r="E4" s="1673"/>
      <c r="F4" s="929" t="s">
        <v>1936</v>
      </c>
      <c r="G4" s="929" t="s">
        <v>1937</v>
      </c>
      <c r="H4" s="929" t="s">
        <v>1936</v>
      </c>
      <c r="I4" s="929" t="s">
        <v>1937</v>
      </c>
      <c r="J4" s="929" t="s">
        <v>1936</v>
      </c>
      <c r="K4" s="930" t="s">
        <v>1937</v>
      </c>
      <c r="L4" s="965"/>
      <c r="M4" s="965"/>
      <c r="N4" s="965"/>
    </row>
    <row r="5" spans="1:14" s="1008" customFormat="1" ht="18" customHeight="1">
      <c r="A5" s="1005" t="s">
        <v>2046</v>
      </c>
      <c r="B5" s="1006"/>
      <c r="C5" s="1006"/>
      <c r="D5" s="1006"/>
      <c r="E5" s="1006"/>
      <c r="F5" s="1006"/>
      <c r="G5" s="1006"/>
      <c r="H5" s="1006"/>
      <c r="I5" s="1006"/>
      <c r="J5" s="1006"/>
      <c r="K5" s="1007"/>
    </row>
    <row r="6" spans="1:14" s="1014" customFormat="1" ht="18" customHeight="1">
      <c r="A6" s="1085" t="s">
        <v>2047</v>
      </c>
      <c r="B6" s="1086" t="s">
        <v>2048</v>
      </c>
      <c r="C6" s="1011">
        <v>1.2</v>
      </c>
      <c r="D6" s="1010" t="s">
        <v>2049</v>
      </c>
      <c r="E6" s="1012">
        <f t="shared" ref="E6:E11" si="0">G6+I6+K6</f>
        <v>1560</v>
      </c>
      <c r="F6" s="1010">
        <f ca="1">'8.0자재단가'!$I$60</f>
        <v>1300</v>
      </c>
      <c r="G6" s="1012">
        <f>INT(C6*F6)</f>
        <v>1560</v>
      </c>
      <c r="H6" s="1010"/>
      <c r="I6" s="1010"/>
      <c r="J6" s="1010"/>
      <c r="K6" s="1013"/>
    </row>
    <row r="7" spans="1:14" s="1014" customFormat="1" ht="18" customHeight="1">
      <c r="A7" s="1085" t="s">
        <v>1949</v>
      </c>
      <c r="B7" s="1086" t="s">
        <v>2050</v>
      </c>
      <c r="C7" s="1011">
        <v>0.5</v>
      </c>
      <c r="D7" s="1010" t="s">
        <v>1951</v>
      </c>
      <c r="E7" s="1012">
        <f t="shared" si="0"/>
        <v>150</v>
      </c>
      <c r="F7" s="1010">
        <f ca="1">'8.0자재단가'!$I$61</f>
        <v>300</v>
      </c>
      <c r="G7" s="1012">
        <f>INT(C7*F7)</f>
        <v>150</v>
      </c>
      <c r="H7" s="1010"/>
      <c r="I7" s="1010"/>
      <c r="J7" s="1010"/>
      <c r="K7" s="1013"/>
    </row>
    <row r="8" spans="1:14" s="1014" customFormat="1" ht="18" customHeight="1">
      <c r="A8" s="1009" t="s">
        <v>2051</v>
      </c>
      <c r="B8" s="1010"/>
      <c r="C8" s="1015">
        <v>2E-3</v>
      </c>
      <c r="D8" s="1010" t="s">
        <v>1888</v>
      </c>
      <c r="E8" s="1012">
        <f t="shared" si="0"/>
        <v>184</v>
      </c>
      <c r="F8" s="1012"/>
      <c r="G8" s="1012"/>
      <c r="H8" s="1012">
        <f ca="1">'11.0시중노임'!$F$4</f>
        <v>92218</v>
      </c>
      <c r="I8" s="1012">
        <f>INT(C8*H8)</f>
        <v>184</v>
      </c>
      <c r="J8" s="1012"/>
      <c r="K8" s="1016"/>
    </row>
    <row r="9" spans="1:14" s="1014" customFormat="1" ht="18" customHeight="1">
      <c r="A9" s="1009" t="s">
        <v>1954</v>
      </c>
      <c r="B9" s="1010"/>
      <c r="C9" s="1015">
        <v>0.01</v>
      </c>
      <c r="D9" s="1010" t="s">
        <v>1888</v>
      </c>
      <c r="E9" s="1012">
        <f t="shared" si="0"/>
        <v>844</v>
      </c>
      <c r="F9" s="1012"/>
      <c r="G9" s="1012"/>
      <c r="H9" s="1012">
        <f ca="1">'11.0시중노임'!$F$5</f>
        <v>84404</v>
      </c>
      <c r="I9" s="1012">
        <f>INT(C9*H9)</f>
        <v>844</v>
      </c>
      <c r="J9" s="1010"/>
      <c r="K9" s="1013"/>
    </row>
    <row r="10" spans="1:14" s="1014" customFormat="1" ht="18" customHeight="1">
      <c r="A10" s="1009" t="s">
        <v>1955</v>
      </c>
      <c r="B10" s="1010"/>
      <c r="C10" s="1015">
        <v>0.02</v>
      </c>
      <c r="D10" s="1010" t="s">
        <v>1888</v>
      </c>
      <c r="E10" s="1012">
        <f t="shared" si="0"/>
        <v>1379</v>
      </c>
      <c r="F10" s="1012"/>
      <c r="G10" s="1012"/>
      <c r="H10" s="1012">
        <f ca="1">'11.0시중노임'!$F$6</f>
        <v>68965</v>
      </c>
      <c r="I10" s="1012">
        <f>INT(C10*H10)</f>
        <v>1379</v>
      </c>
      <c r="J10" s="1010"/>
      <c r="K10" s="1013"/>
    </row>
    <row r="11" spans="1:14" s="969" customFormat="1" ht="18" customHeight="1">
      <c r="A11" s="1087" t="s">
        <v>2052</v>
      </c>
      <c r="B11" s="967" t="s">
        <v>2053</v>
      </c>
      <c r="C11" s="1088">
        <v>3</v>
      </c>
      <c r="D11" s="967" t="s">
        <v>1946</v>
      </c>
      <c r="E11" s="937">
        <f t="shared" si="0"/>
        <v>51.3</v>
      </c>
      <c r="F11" s="937">
        <f>SUM(G6:G7)</f>
        <v>1710</v>
      </c>
      <c r="G11" s="937">
        <f>F11*C11/100</f>
        <v>51.3</v>
      </c>
      <c r="H11" s="937"/>
      <c r="I11" s="937"/>
      <c r="J11" s="967"/>
      <c r="K11" s="968"/>
    </row>
    <row r="12" spans="1:14" s="1021" customFormat="1" ht="18" customHeight="1">
      <c r="A12" s="1017" t="s">
        <v>1947</v>
      </c>
      <c r="B12" s="1018"/>
      <c r="C12" s="1018"/>
      <c r="D12" s="1018"/>
      <c r="E12" s="1019">
        <f>SUM(E6:E11)</f>
        <v>4168.3</v>
      </c>
      <c r="F12" s="1018"/>
      <c r="G12" s="1019">
        <f>SUM(G6:G11)</f>
        <v>1761.3</v>
      </c>
      <c r="H12" s="1018"/>
      <c r="I12" s="1019">
        <f>SUM(I6:I11)</f>
        <v>2407</v>
      </c>
      <c r="J12" s="1018"/>
      <c r="K12" s="1020"/>
    </row>
    <row r="13" spans="1:14" s="965" customFormat="1" ht="18" customHeight="1">
      <c r="A13" s="966" t="s">
        <v>2054</v>
      </c>
      <c r="B13" s="967"/>
      <c r="C13" s="967"/>
      <c r="D13" s="967"/>
      <c r="E13" s="1089"/>
      <c r="F13" s="967"/>
      <c r="G13" s="967"/>
      <c r="H13" s="967"/>
      <c r="I13" s="967"/>
      <c r="J13" s="967"/>
      <c r="K13" s="968"/>
    </row>
    <row r="14" spans="1:14" s="931" customFormat="1" ht="18" customHeight="1">
      <c r="A14" s="1090" t="s">
        <v>2055</v>
      </c>
      <c r="B14" s="573" t="s">
        <v>2056</v>
      </c>
      <c r="C14" s="944">
        <v>2.5000000000000001E-2</v>
      </c>
      <c r="D14" s="573" t="s">
        <v>2057</v>
      </c>
      <c r="E14" s="937">
        <f t="shared" ref="E14:E24" si="1">G14+I14+K14</f>
        <v>3000</v>
      </c>
      <c r="F14" s="937">
        <f ca="1">'8.0자재단가'!I48</f>
        <v>120000</v>
      </c>
      <c r="G14" s="937">
        <f>INT(C14*F14)</f>
        <v>3000</v>
      </c>
      <c r="H14" s="937"/>
      <c r="I14" s="937"/>
      <c r="J14" s="937"/>
      <c r="K14" s="938"/>
      <c r="L14" s="965"/>
      <c r="M14" s="965"/>
      <c r="N14" s="965"/>
    </row>
    <row r="15" spans="1:14" s="928" customFormat="1" ht="18" customHeight="1">
      <c r="A15" s="1090" t="s">
        <v>2058</v>
      </c>
      <c r="B15" s="573" t="s">
        <v>2059</v>
      </c>
      <c r="C15" s="944">
        <v>0.25</v>
      </c>
      <c r="D15" s="573" t="s">
        <v>2057</v>
      </c>
      <c r="E15" s="1091">
        <f t="shared" si="1"/>
        <v>0</v>
      </c>
      <c r="F15" s="937">
        <f ca="1">'8.0자재단가'!I49</f>
        <v>12000</v>
      </c>
      <c r="G15" s="1091">
        <v>0</v>
      </c>
      <c r="H15" s="937"/>
      <c r="I15" s="937"/>
      <c r="J15" s="937"/>
      <c r="K15" s="938"/>
      <c r="L15" s="964"/>
      <c r="M15" s="964"/>
      <c r="N15" s="964"/>
    </row>
    <row r="16" spans="1:14" s="928" customFormat="1" ht="18" customHeight="1">
      <c r="A16" s="1085" t="s">
        <v>2060</v>
      </c>
      <c r="B16" s="1086" t="s">
        <v>2061</v>
      </c>
      <c r="C16" s="992">
        <v>1</v>
      </c>
      <c r="D16" s="573" t="s">
        <v>2062</v>
      </c>
      <c r="E16" s="937">
        <f t="shared" si="1"/>
        <v>740</v>
      </c>
      <c r="F16" s="937">
        <f ca="1">'8.0자재단가'!I56</f>
        <v>740</v>
      </c>
      <c r="G16" s="937">
        <f>INT(C16*F16)</f>
        <v>740</v>
      </c>
      <c r="H16" s="937"/>
      <c r="I16" s="937"/>
      <c r="J16" s="937"/>
      <c r="K16" s="938"/>
      <c r="L16" s="964"/>
      <c r="M16" s="983"/>
      <c r="N16" s="983"/>
    </row>
    <row r="17" spans="1:14" s="928" customFormat="1" ht="18" customHeight="1">
      <c r="A17" s="1085" t="s">
        <v>2063</v>
      </c>
      <c r="B17" s="1086" t="s">
        <v>2064</v>
      </c>
      <c r="C17" s="1092">
        <v>0.02</v>
      </c>
      <c r="D17" s="573" t="s">
        <v>2062</v>
      </c>
      <c r="E17" s="937">
        <f t="shared" si="1"/>
        <v>320</v>
      </c>
      <c r="F17" s="937">
        <f ca="1">'8.0자재단가'!$I$58</f>
        <v>16000</v>
      </c>
      <c r="G17" s="937">
        <f>INT(C17*F17)</f>
        <v>320</v>
      </c>
      <c r="H17" s="937"/>
      <c r="I17" s="937"/>
      <c r="J17" s="937"/>
      <c r="K17" s="938"/>
      <c r="L17" s="964"/>
      <c r="M17" s="964"/>
      <c r="N17" s="964"/>
    </row>
    <row r="18" spans="1:14" s="928" customFormat="1" ht="18" customHeight="1">
      <c r="A18" s="576" t="s">
        <v>2065</v>
      </c>
      <c r="B18" s="573" t="s">
        <v>2066</v>
      </c>
      <c r="C18" s="944">
        <v>3.0000000000000001E-3</v>
      </c>
      <c r="D18" s="573" t="s">
        <v>2067</v>
      </c>
      <c r="E18" s="937">
        <f t="shared" si="1"/>
        <v>115</v>
      </c>
      <c r="F18" s="937">
        <f ca="1">'9.0중기목록'!$F$14</f>
        <v>13117</v>
      </c>
      <c r="G18" s="937">
        <f ca="1">INT(C18*F18)</f>
        <v>39</v>
      </c>
      <c r="H18" s="937">
        <f ca="1">'9.0중기목록'!$E$14</f>
        <v>17696</v>
      </c>
      <c r="I18" s="937">
        <f t="shared" ref="I18:I23" si="2">INT(C18*H18)</f>
        <v>53</v>
      </c>
      <c r="J18" s="937">
        <f ca="1">'9.0중기목록'!$G$14</f>
        <v>7823</v>
      </c>
      <c r="K18" s="938">
        <f>INT(C18*J18)</f>
        <v>23</v>
      </c>
      <c r="L18" s="964"/>
      <c r="M18" s="964"/>
      <c r="N18" s="964"/>
    </row>
    <row r="19" spans="1:14" s="928" customFormat="1" ht="18" customHeight="1">
      <c r="A19" s="942" t="s">
        <v>2068</v>
      </c>
      <c r="B19" s="573" t="s">
        <v>2069</v>
      </c>
      <c r="C19" s="944">
        <v>3.0000000000000001E-3</v>
      </c>
      <c r="D19" s="573" t="s">
        <v>2067</v>
      </c>
      <c r="E19" s="937">
        <f t="shared" si="1"/>
        <v>126</v>
      </c>
      <c r="F19" s="937">
        <f ca="1">'9.0중기목록'!F48</f>
        <v>10217</v>
      </c>
      <c r="G19" s="937">
        <f ca="1">INT(C19*F19)</f>
        <v>30</v>
      </c>
      <c r="H19" s="937">
        <f ca="1">'9.0중기목록'!E48</f>
        <v>16611</v>
      </c>
      <c r="I19" s="937">
        <f t="shared" si="2"/>
        <v>49</v>
      </c>
      <c r="J19" s="937">
        <f ca="1">'9.0중기목록'!G48</f>
        <v>15971</v>
      </c>
      <c r="K19" s="938">
        <f>INT(C19*J19)</f>
        <v>47</v>
      </c>
      <c r="L19" s="964"/>
      <c r="M19" s="964"/>
      <c r="N19" s="964"/>
    </row>
    <row r="20" spans="1:14" s="928" customFormat="1" ht="18" customHeight="1">
      <c r="A20" s="576" t="s">
        <v>2070</v>
      </c>
      <c r="B20" s="573"/>
      <c r="C20" s="944">
        <v>1E-3</v>
      </c>
      <c r="D20" s="573" t="s">
        <v>2071</v>
      </c>
      <c r="E20" s="937">
        <f t="shared" si="1"/>
        <v>92</v>
      </c>
      <c r="F20" s="937"/>
      <c r="G20" s="937"/>
      <c r="H20" s="937">
        <f ca="1">'11.0시중노임'!$F$4</f>
        <v>92218</v>
      </c>
      <c r="I20" s="937">
        <f t="shared" si="2"/>
        <v>92</v>
      </c>
      <c r="J20" s="937"/>
      <c r="K20" s="938"/>
      <c r="L20" s="964"/>
      <c r="M20" s="964"/>
      <c r="N20" s="964"/>
    </row>
    <row r="21" spans="1:14" s="928" customFormat="1" ht="18" customHeight="1">
      <c r="A21" s="576" t="s">
        <v>2072</v>
      </c>
      <c r="B21" s="573"/>
      <c r="C21" s="944">
        <v>2E-3</v>
      </c>
      <c r="D21" s="573" t="s">
        <v>2071</v>
      </c>
      <c r="E21" s="937">
        <f t="shared" si="1"/>
        <v>168</v>
      </c>
      <c r="F21" s="937"/>
      <c r="G21" s="937"/>
      <c r="H21" s="937">
        <f ca="1">'11.0시중노임'!$F$5</f>
        <v>84404</v>
      </c>
      <c r="I21" s="937">
        <f t="shared" si="2"/>
        <v>168</v>
      </c>
      <c r="J21" s="937"/>
      <c r="K21" s="938"/>
      <c r="L21" s="964"/>
      <c r="M21" s="964"/>
      <c r="N21" s="964"/>
    </row>
    <row r="22" spans="1:14" s="928" customFormat="1" ht="18" customHeight="1">
      <c r="A22" s="576" t="s">
        <v>2073</v>
      </c>
      <c r="B22" s="573"/>
      <c r="C22" s="944">
        <v>1E-3</v>
      </c>
      <c r="D22" s="573" t="s">
        <v>2071</v>
      </c>
      <c r="E22" s="937">
        <f t="shared" si="1"/>
        <v>86</v>
      </c>
      <c r="F22" s="937"/>
      <c r="G22" s="937"/>
      <c r="H22" s="937">
        <f ca="1">'11.0시중노임'!$F$12</f>
        <v>86521</v>
      </c>
      <c r="I22" s="937">
        <f t="shared" si="2"/>
        <v>86</v>
      </c>
      <c r="J22" s="937"/>
      <c r="K22" s="938"/>
      <c r="L22" s="964"/>
      <c r="M22" s="964"/>
      <c r="N22" s="964"/>
    </row>
    <row r="23" spans="1:14" s="928" customFormat="1" ht="18" customHeight="1">
      <c r="A23" s="576" t="s">
        <v>2074</v>
      </c>
      <c r="B23" s="573"/>
      <c r="C23" s="944">
        <v>4.0000000000000001E-3</v>
      </c>
      <c r="D23" s="573" t="s">
        <v>2071</v>
      </c>
      <c r="E23" s="937">
        <f t="shared" si="1"/>
        <v>275</v>
      </c>
      <c r="F23" s="937"/>
      <c r="G23" s="937"/>
      <c r="H23" s="937">
        <f ca="1">'11.0시중노임'!$F$6</f>
        <v>68965</v>
      </c>
      <c r="I23" s="937">
        <f t="shared" si="2"/>
        <v>275</v>
      </c>
      <c r="J23" s="937"/>
      <c r="K23" s="938"/>
      <c r="L23" s="964"/>
      <c r="M23" s="984"/>
      <c r="N23" s="964"/>
    </row>
    <row r="24" spans="1:14" s="956" customFormat="1" ht="18" customHeight="1">
      <c r="A24" s="971" t="s">
        <v>2075</v>
      </c>
      <c r="B24" s="986"/>
      <c r="C24" s="987"/>
      <c r="D24" s="986"/>
      <c r="E24" s="973">
        <f t="shared" si="1"/>
        <v>4922</v>
      </c>
      <c r="F24" s="973"/>
      <c r="G24" s="973">
        <f>SUM(G14:G23)</f>
        <v>4129</v>
      </c>
      <c r="H24" s="973"/>
      <c r="I24" s="973">
        <f>SUM(I14:I23)</f>
        <v>723</v>
      </c>
      <c r="J24" s="973"/>
      <c r="K24" s="988">
        <f>SUM(K14:K23)</f>
        <v>70</v>
      </c>
      <c r="L24" s="989"/>
      <c r="M24" s="989"/>
      <c r="N24" s="989"/>
    </row>
    <row r="25" spans="1:14" s="956" customFormat="1" ht="18" customHeight="1">
      <c r="A25" s="1093"/>
      <c r="B25" s="1094"/>
      <c r="C25" s="986"/>
      <c r="D25" s="987"/>
      <c r="E25" s="973"/>
      <c r="F25" s="973"/>
      <c r="G25" s="973"/>
      <c r="H25" s="973"/>
      <c r="I25" s="973"/>
      <c r="J25" s="973"/>
      <c r="K25" s="1095"/>
      <c r="L25" s="989"/>
      <c r="M25" s="989"/>
      <c r="N25" s="989"/>
    </row>
    <row r="26" spans="1:14" s="956" customFormat="1" ht="18" customHeight="1">
      <c r="A26" s="1093"/>
      <c r="B26" s="1094"/>
      <c r="C26" s="986"/>
      <c r="D26" s="987"/>
      <c r="E26" s="973"/>
      <c r="F26" s="973"/>
      <c r="G26" s="973"/>
      <c r="H26" s="973"/>
      <c r="I26" s="973"/>
      <c r="J26" s="973"/>
      <c r="K26" s="1095"/>
      <c r="L26" s="989"/>
      <c r="M26" s="989"/>
      <c r="N26" s="989"/>
    </row>
    <row r="27" spans="1:14" s="956" customFormat="1" ht="18" customHeight="1">
      <c r="A27" s="1093"/>
      <c r="B27" s="1094"/>
      <c r="C27" s="986"/>
      <c r="D27" s="987"/>
      <c r="E27" s="973"/>
      <c r="F27" s="973"/>
      <c r="G27" s="973"/>
      <c r="H27" s="973"/>
      <c r="I27" s="973"/>
      <c r="J27" s="973"/>
      <c r="K27" s="1095"/>
      <c r="L27" s="989"/>
      <c r="M27" s="989"/>
      <c r="N27" s="989"/>
    </row>
    <row r="28" spans="1:14" s="956" customFormat="1" ht="18" customHeight="1">
      <c r="A28" s="1093"/>
      <c r="B28" s="1094"/>
      <c r="C28" s="986"/>
      <c r="D28" s="987"/>
      <c r="E28" s="973"/>
      <c r="F28" s="973"/>
      <c r="G28" s="973"/>
      <c r="H28" s="973"/>
      <c r="I28" s="973"/>
      <c r="J28" s="973"/>
      <c r="K28" s="1095"/>
      <c r="L28" s="989"/>
      <c r="M28" s="989"/>
      <c r="N28" s="989"/>
    </row>
    <row r="29" spans="1:14" s="956" customFormat="1" ht="18" customHeight="1">
      <c r="A29" s="1093"/>
      <c r="B29" s="1094"/>
      <c r="C29" s="986"/>
      <c r="D29" s="987"/>
      <c r="E29" s="973"/>
      <c r="F29" s="973"/>
      <c r="G29" s="973"/>
      <c r="H29" s="973"/>
      <c r="I29" s="973"/>
      <c r="J29" s="973"/>
      <c r="K29" s="1095"/>
      <c r="L29" s="989"/>
      <c r="M29" s="989"/>
      <c r="N29" s="989"/>
    </row>
    <row r="30" spans="1:14" s="956" customFormat="1" ht="18" customHeight="1">
      <c r="A30" s="1093"/>
      <c r="B30" s="1094"/>
      <c r="C30" s="986"/>
      <c r="D30" s="987"/>
      <c r="E30" s="973"/>
      <c r="F30" s="973"/>
      <c r="G30" s="973"/>
      <c r="H30" s="973"/>
      <c r="I30" s="973"/>
      <c r="J30" s="973"/>
      <c r="K30" s="1095"/>
      <c r="L30" s="989"/>
      <c r="M30" s="989"/>
      <c r="N30" s="989"/>
    </row>
    <row r="31" spans="1:14" s="956" customFormat="1" ht="18" customHeight="1">
      <c r="A31" s="1093"/>
      <c r="B31" s="1094"/>
      <c r="C31" s="986"/>
      <c r="D31" s="987"/>
      <c r="E31" s="973"/>
      <c r="F31" s="973"/>
      <c r="G31" s="973"/>
      <c r="H31" s="973"/>
      <c r="I31" s="973"/>
      <c r="J31" s="973"/>
      <c r="K31" s="1095"/>
      <c r="L31" s="989"/>
      <c r="M31" s="989"/>
      <c r="N31" s="989"/>
    </row>
    <row r="32" spans="1:14" s="956" customFormat="1" ht="18" customHeight="1">
      <c r="A32" s="1093"/>
      <c r="B32" s="1094"/>
      <c r="C32" s="986"/>
      <c r="D32" s="987"/>
      <c r="E32" s="973"/>
      <c r="F32" s="973"/>
      <c r="G32" s="973"/>
      <c r="H32" s="973"/>
      <c r="I32" s="973"/>
      <c r="J32" s="973"/>
      <c r="K32" s="1095"/>
      <c r="L32" s="989"/>
      <c r="M32" s="989"/>
      <c r="N32" s="989"/>
    </row>
    <row r="33" spans="1:14" s="956" customFormat="1" ht="18" customHeight="1">
      <c r="A33" s="1093"/>
      <c r="B33" s="1094"/>
      <c r="C33" s="986"/>
      <c r="D33" s="987"/>
      <c r="E33" s="973"/>
      <c r="F33" s="973"/>
      <c r="G33" s="973"/>
      <c r="H33" s="973"/>
      <c r="I33" s="973"/>
      <c r="J33" s="973"/>
      <c r="K33" s="1095"/>
      <c r="L33" s="989"/>
      <c r="M33" s="989"/>
      <c r="N33" s="989"/>
    </row>
    <row r="34" spans="1:14" s="956" customFormat="1" ht="18" customHeight="1">
      <c r="A34" s="1093"/>
      <c r="B34" s="1094"/>
      <c r="C34" s="986"/>
      <c r="D34" s="987"/>
      <c r="E34" s="973"/>
      <c r="F34" s="973"/>
      <c r="G34" s="973"/>
      <c r="H34" s="973"/>
      <c r="I34" s="973"/>
      <c r="J34" s="973"/>
      <c r="K34" s="1095"/>
      <c r="L34" s="989"/>
      <c r="M34" s="989"/>
      <c r="N34" s="989"/>
    </row>
    <row r="35" spans="1:14" s="956" customFormat="1" ht="18" customHeight="1">
      <c r="A35" s="1093"/>
      <c r="B35" s="1094"/>
      <c r="C35" s="986"/>
      <c r="D35" s="987"/>
      <c r="E35" s="973"/>
      <c r="F35" s="973"/>
      <c r="G35" s="973"/>
      <c r="H35" s="973"/>
      <c r="I35" s="973"/>
      <c r="J35" s="973"/>
      <c r="K35" s="1095"/>
      <c r="L35" s="989"/>
      <c r="M35" s="989"/>
      <c r="N35" s="989"/>
    </row>
    <row r="36" spans="1:14" s="956" customFormat="1" ht="18" customHeight="1">
      <c r="A36" s="1093"/>
      <c r="B36" s="1094"/>
      <c r="C36" s="986"/>
      <c r="D36" s="987"/>
      <c r="E36" s="973"/>
      <c r="F36" s="973"/>
      <c r="G36" s="973"/>
      <c r="H36" s="973"/>
      <c r="I36" s="973"/>
      <c r="J36" s="973"/>
      <c r="K36" s="1095"/>
      <c r="L36" s="989"/>
      <c r="M36" s="989"/>
      <c r="N36" s="989"/>
    </row>
    <row r="37" spans="1:14" s="956" customFormat="1" ht="18" customHeight="1">
      <c r="A37" s="1093"/>
      <c r="B37" s="1094"/>
      <c r="C37" s="986"/>
      <c r="D37" s="987"/>
      <c r="E37" s="973"/>
      <c r="F37" s="973"/>
      <c r="G37" s="973"/>
      <c r="H37" s="973"/>
      <c r="I37" s="973"/>
      <c r="J37" s="973"/>
      <c r="K37" s="1095"/>
      <c r="L37" s="989"/>
      <c r="M37" s="989"/>
      <c r="N37" s="989"/>
    </row>
    <row r="38" spans="1:14" s="928" customFormat="1" ht="18" customHeight="1">
      <c r="A38" s="947"/>
      <c r="B38" s="1096"/>
      <c r="C38" s="945"/>
      <c r="D38" s="945"/>
      <c r="E38" s="937"/>
      <c r="F38" s="945"/>
      <c r="G38" s="945"/>
      <c r="H38" s="945"/>
      <c r="I38" s="945"/>
      <c r="J38" s="945"/>
      <c r="K38" s="950"/>
      <c r="L38" s="964"/>
      <c r="M38" s="964"/>
      <c r="N38" s="964"/>
    </row>
    <row r="39" spans="1:14" s="956" customFormat="1" ht="18" customHeight="1">
      <c r="A39" s="951" t="s">
        <v>2076</v>
      </c>
      <c r="B39" s="952"/>
      <c r="C39" s="952"/>
      <c r="D39" s="953"/>
      <c r="E39" s="954">
        <f>E24+E12</f>
        <v>9090.2999999999993</v>
      </c>
      <c r="F39" s="954"/>
      <c r="G39" s="954">
        <f>G24+G12</f>
        <v>5890.3</v>
      </c>
      <c r="H39" s="954"/>
      <c r="I39" s="954">
        <f>I24+I12</f>
        <v>3130</v>
      </c>
      <c r="J39" s="954"/>
      <c r="K39" s="955">
        <f>K24+K12</f>
        <v>70</v>
      </c>
      <c r="L39" s="989"/>
      <c r="M39" s="989"/>
      <c r="N39" s="989"/>
    </row>
    <row r="40" spans="1:14" ht="26.1" customHeight="1">
      <c r="A40" s="1748" t="s">
        <v>2077</v>
      </c>
      <c r="B40" s="1748"/>
      <c r="C40" s="1748"/>
      <c r="D40" s="1748"/>
      <c r="E40" s="1748"/>
      <c r="F40" s="1748"/>
      <c r="G40" s="1748"/>
      <c r="H40" s="1748"/>
      <c r="I40" s="1748"/>
      <c r="J40" s="1748"/>
      <c r="K40" s="1748"/>
    </row>
    <row r="41" spans="1:14" s="928" customFormat="1" ht="13.5" customHeight="1">
      <c r="A41" s="925"/>
      <c r="B41" s="925"/>
      <c r="C41" s="925"/>
      <c r="D41" s="926"/>
      <c r="E41" s="926"/>
      <c r="F41" s="925"/>
      <c r="G41" s="925"/>
      <c r="H41" s="925"/>
      <c r="I41" s="925"/>
      <c r="J41" s="925"/>
      <c r="K41" s="927" t="s">
        <v>2078</v>
      </c>
      <c r="L41" s="964"/>
      <c r="M41" s="964"/>
      <c r="N41" s="964"/>
    </row>
    <row r="42" spans="1:14" s="928" customFormat="1" ht="20.100000000000001" customHeight="1">
      <c r="A42" s="1689" t="s">
        <v>2079</v>
      </c>
      <c r="B42" s="1670" t="s">
        <v>2080</v>
      </c>
      <c r="C42" s="1670" t="s">
        <v>2081</v>
      </c>
      <c r="D42" s="1670" t="s">
        <v>2082</v>
      </c>
      <c r="E42" s="1672" t="s">
        <v>2083</v>
      </c>
      <c r="F42" s="1670" t="s">
        <v>2084</v>
      </c>
      <c r="G42" s="1670"/>
      <c r="H42" s="1670" t="s">
        <v>2085</v>
      </c>
      <c r="I42" s="1670"/>
      <c r="J42" s="1670" t="s">
        <v>2086</v>
      </c>
      <c r="K42" s="1674"/>
      <c r="L42" s="964"/>
      <c r="M42" s="964"/>
      <c r="N42" s="964"/>
    </row>
    <row r="43" spans="1:14" s="931" customFormat="1" ht="20.100000000000001" customHeight="1">
      <c r="A43" s="1690"/>
      <c r="B43" s="1671"/>
      <c r="C43" s="1671"/>
      <c r="D43" s="1671"/>
      <c r="E43" s="1673"/>
      <c r="F43" s="929" t="s">
        <v>2087</v>
      </c>
      <c r="G43" s="929" t="s">
        <v>2088</v>
      </c>
      <c r="H43" s="929" t="s">
        <v>2087</v>
      </c>
      <c r="I43" s="929" t="s">
        <v>2088</v>
      </c>
      <c r="J43" s="929" t="s">
        <v>2087</v>
      </c>
      <c r="K43" s="930" t="s">
        <v>2088</v>
      </c>
      <c r="L43" s="965"/>
      <c r="M43" s="965"/>
      <c r="N43" s="965"/>
    </row>
    <row r="44" spans="1:14" s="1008" customFormat="1" ht="20.100000000000001" customHeight="1">
      <c r="A44" s="1005" t="s">
        <v>2089</v>
      </c>
      <c r="B44" s="1006"/>
      <c r="C44" s="1006"/>
      <c r="D44" s="1006"/>
      <c r="E44" s="1006"/>
      <c r="F44" s="1006"/>
      <c r="G44" s="1006"/>
      <c r="H44" s="1006"/>
      <c r="I44" s="1006"/>
      <c r="J44" s="1006"/>
      <c r="K44" s="1007"/>
    </row>
    <row r="45" spans="1:14" s="1014" customFormat="1" ht="20.100000000000001" customHeight="1">
      <c r="A45" s="1085" t="s">
        <v>2090</v>
      </c>
      <c r="B45" s="1086" t="s">
        <v>2091</v>
      </c>
      <c r="C45" s="1011">
        <v>1.2</v>
      </c>
      <c r="D45" s="1010" t="s">
        <v>2092</v>
      </c>
      <c r="E45" s="1012">
        <f t="shared" ref="E45:E50" si="3">G45+I45+K45</f>
        <v>600</v>
      </c>
      <c r="F45" s="1010">
        <f ca="1">'8.0자재단가'!$I$59</f>
        <v>500</v>
      </c>
      <c r="G45" s="1012">
        <f>INT(C45*F45)</f>
        <v>600</v>
      </c>
      <c r="H45" s="1010"/>
      <c r="I45" s="1010"/>
      <c r="J45" s="1010"/>
      <c r="K45" s="1013"/>
    </row>
    <row r="46" spans="1:14" s="1014" customFormat="1" ht="20.100000000000001" customHeight="1">
      <c r="A46" s="1085" t="s">
        <v>2093</v>
      </c>
      <c r="B46" s="1086" t="s">
        <v>2094</v>
      </c>
      <c r="C46" s="1011">
        <v>0.5</v>
      </c>
      <c r="D46" s="1010" t="s">
        <v>2095</v>
      </c>
      <c r="E46" s="1012">
        <f t="shared" si="3"/>
        <v>150</v>
      </c>
      <c r="F46" s="1010">
        <f ca="1">'8.0자재단가'!$I$61</f>
        <v>300</v>
      </c>
      <c r="G46" s="1012">
        <f>INT(C46*F46)</f>
        <v>150</v>
      </c>
      <c r="H46" s="1010"/>
      <c r="I46" s="1010"/>
      <c r="J46" s="1010"/>
      <c r="K46" s="1013"/>
    </row>
    <row r="47" spans="1:14" s="1014" customFormat="1" ht="20.100000000000001" customHeight="1">
      <c r="A47" s="1009" t="s">
        <v>2070</v>
      </c>
      <c r="B47" s="1010"/>
      <c r="C47" s="1015">
        <v>2E-3</v>
      </c>
      <c r="D47" s="1010" t="s">
        <v>2071</v>
      </c>
      <c r="E47" s="1012">
        <f t="shared" si="3"/>
        <v>184</v>
      </c>
      <c r="F47" s="1012"/>
      <c r="G47" s="1012"/>
      <c r="H47" s="1012">
        <f ca="1">'11.0시중노임'!$F$4</f>
        <v>92218</v>
      </c>
      <c r="I47" s="1012">
        <f>INT(C47*H47)</f>
        <v>184</v>
      </c>
      <c r="J47" s="1012"/>
      <c r="K47" s="1016"/>
    </row>
    <row r="48" spans="1:14" s="1014" customFormat="1" ht="20.100000000000001" customHeight="1">
      <c r="A48" s="1009" t="s">
        <v>2072</v>
      </c>
      <c r="B48" s="1010"/>
      <c r="C48" s="1015">
        <v>0.01</v>
      </c>
      <c r="D48" s="1010" t="s">
        <v>2071</v>
      </c>
      <c r="E48" s="1012">
        <f t="shared" si="3"/>
        <v>844</v>
      </c>
      <c r="F48" s="1012"/>
      <c r="G48" s="1012"/>
      <c r="H48" s="1012">
        <f ca="1">'11.0시중노임'!$F$5</f>
        <v>84404</v>
      </c>
      <c r="I48" s="1012">
        <f>INT(C48*H48)</f>
        <v>844</v>
      </c>
      <c r="J48" s="1010"/>
      <c r="K48" s="1013"/>
    </row>
    <row r="49" spans="1:15" s="1014" customFormat="1" ht="20.100000000000001" customHeight="1">
      <c r="A49" s="1009" t="s">
        <v>2074</v>
      </c>
      <c r="B49" s="1010"/>
      <c r="C49" s="1015">
        <v>0.02</v>
      </c>
      <c r="D49" s="1010" t="s">
        <v>2071</v>
      </c>
      <c r="E49" s="1012">
        <f t="shared" si="3"/>
        <v>1379</v>
      </c>
      <c r="F49" s="1012"/>
      <c r="G49" s="1012"/>
      <c r="H49" s="1012">
        <f ca="1">'11.0시중노임'!$F$6</f>
        <v>68965</v>
      </c>
      <c r="I49" s="1012">
        <f>INT(C49*H49)</f>
        <v>1379</v>
      </c>
      <c r="J49" s="1010"/>
      <c r="K49" s="1013"/>
    </row>
    <row r="50" spans="1:15" s="969" customFormat="1" ht="15" customHeight="1">
      <c r="A50" s="1087" t="s">
        <v>2096</v>
      </c>
      <c r="B50" s="967" t="s">
        <v>2097</v>
      </c>
      <c r="C50" s="1088">
        <v>3</v>
      </c>
      <c r="D50" s="967" t="s">
        <v>2098</v>
      </c>
      <c r="E50" s="937">
        <f t="shared" si="3"/>
        <v>22.5</v>
      </c>
      <c r="F50" s="937">
        <f>SUM(G45:G46)</f>
        <v>750</v>
      </c>
      <c r="G50" s="937">
        <f>F50*C50/100</f>
        <v>22.5</v>
      </c>
      <c r="H50" s="937"/>
      <c r="I50" s="937"/>
      <c r="J50" s="967"/>
      <c r="K50" s="968"/>
    </row>
    <row r="51" spans="1:15" s="1021" customFormat="1" ht="20.100000000000001" customHeight="1">
      <c r="A51" s="1017" t="s">
        <v>2099</v>
      </c>
      <c r="B51" s="1018"/>
      <c r="C51" s="1018"/>
      <c r="D51" s="1018"/>
      <c r="E51" s="1019">
        <f>SUM(E45:E50)</f>
        <v>3179.5</v>
      </c>
      <c r="F51" s="1018"/>
      <c r="G51" s="1019">
        <f>SUM(G45:G50)</f>
        <v>772.5</v>
      </c>
      <c r="H51" s="1018"/>
      <c r="I51" s="1019">
        <f>SUM(I45:I50)</f>
        <v>2407</v>
      </c>
      <c r="J51" s="1018"/>
      <c r="K51" s="1020"/>
    </row>
    <row r="52" spans="1:15" s="965" customFormat="1" ht="15" customHeight="1">
      <c r="A52" s="966" t="s">
        <v>2100</v>
      </c>
      <c r="B52" s="967"/>
      <c r="C52" s="967"/>
      <c r="D52" s="967"/>
      <c r="E52" s="1089"/>
      <c r="F52" s="967"/>
      <c r="G52" s="967"/>
      <c r="H52" s="967"/>
      <c r="I52" s="967"/>
      <c r="J52" s="967"/>
      <c r="K52" s="968"/>
    </row>
    <row r="53" spans="1:15" s="931" customFormat="1" ht="15" customHeight="1">
      <c r="A53" s="1090" t="s">
        <v>2101</v>
      </c>
      <c r="B53" s="573" t="s">
        <v>2102</v>
      </c>
      <c r="C53" s="944">
        <v>0.03</v>
      </c>
      <c r="D53" s="573" t="s">
        <v>2103</v>
      </c>
      <c r="E53" s="937">
        <f t="shared" ref="E53:E68" si="4">G53+I53+K53</f>
        <v>3600</v>
      </c>
      <c r="F53" s="937">
        <f ca="1">'8.0자재단가'!I48</f>
        <v>120000</v>
      </c>
      <c r="G53" s="937">
        <f>INT(C53*F53)</f>
        <v>3600</v>
      </c>
      <c r="H53" s="937"/>
      <c r="I53" s="937"/>
      <c r="J53" s="937"/>
      <c r="K53" s="938"/>
      <c r="L53" s="965"/>
      <c r="M53" s="965"/>
      <c r="N53" s="965"/>
    </row>
    <row r="54" spans="1:15" s="928" customFormat="1" ht="15" customHeight="1">
      <c r="A54" s="1090" t="s">
        <v>2104</v>
      </c>
      <c r="B54" s="573" t="s">
        <v>2105</v>
      </c>
      <c r="C54" s="944">
        <v>0.3</v>
      </c>
      <c r="D54" s="573" t="s">
        <v>2103</v>
      </c>
      <c r="E54" s="1091">
        <f t="shared" si="4"/>
        <v>0</v>
      </c>
      <c r="F54" s="1091">
        <f ca="1">'8.0자재단가'!I49</f>
        <v>12000</v>
      </c>
      <c r="G54" s="1091">
        <v>0</v>
      </c>
      <c r="H54" s="937"/>
      <c r="I54" s="937"/>
      <c r="J54" s="937"/>
      <c r="K54" s="938"/>
      <c r="L54" s="964"/>
      <c r="M54" s="964"/>
      <c r="N54" s="964"/>
    </row>
    <row r="55" spans="1:15" s="928" customFormat="1" ht="15" customHeight="1">
      <c r="A55" s="1085" t="s">
        <v>2106</v>
      </c>
      <c r="B55" s="1086" t="s">
        <v>2107</v>
      </c>
      <c r="C55" s="944"/>
      <c r="D55" s="573" t="s">
        <v>2108</v>
      </c>
      <c r="E55" s="1091">
        <f t="shared" si="4"/>
        <v>0</v>
      </c>
      <c r="F55" s="1091">
        <f ca="1">'8.0자재단가'!$I$50</f>
        <v>1500</v>
      </c>
      <c r="G55" s="1091">
        <v>0</v>
      </c>
      <c r="H55" s="937"/>
      <c r="I55" s="937"/>
      <c r="J55" s="937"/>
      <c r="K55" s="938"/>
      <c r="L55" s="964"/>
      <c r="M55" s="964"/>
      <c r="N55" s="964"/>
    </row>
    <row r="56" spans="1:15" s="928" customFormat="1" ht="15" customHeight="1">
      <c r="A56" s="1085" t="s">
        <v>2060</v>
      </c>
      <c r="B56" s="1086" t="s">
        <v>2061</v>
      </c>
      <c r="C56" s="992">
        <v>10</v>
      </c>
      <c r="D56" s="573" t="s">
        <v>2062</v>
      </c>
      <c r="E56" s="937">
        <f t="shared" si="4"/>
        <v>7400</v>
      </c>
      <c r="F56" s="937">
        <f ca="1">'8.0자재단가'!I55</f>
        <v>740</v>
      </c>
      <c r="G56" s="937">
        <f t="shared" ref="G56:G61" si="5">INT(C56*F56)</f>
        <v>7400</v>
      </c>
      <c r="H56" s="937"/>
      <c r="I56" s="937"/>
      <c r="J56" s="937"/>
      <c r="K56" s="938"/>
      <c r="L56" s="964"/>
      <c r="M56" s="983"/>
      <c r="N56" s="983"/>
    </row>
    <row r="57" spans="1:15" s="928" customFormat="1" ht="15" customHeight="1">
      <c r="A57" s="1085" t="s">
        <v>2063</v>
      </c>
      <c r="B57" s="1086" t="s">
        <v>2064</v>
      </c>
      <c r="C57" s="1092">
        <v>0.2</v>
      </c>
      <c r="D57" s="573" t="s">
        <v>2062</v>
      </c>
      <c r="E57" s="937">
        <f t="shared" si="4"/>
        <v>3200</v>
      </c>
      <c r="F57" s="937">
        <f ca="1">'8.0자재단가'!$I$57</f>
        <v>16000</v>
      </c>
      <c r="G57" s="937">
        <f t="shared" si="5"/>
        <v>3200</v>
      </c>
      <c r="H57" s="937"/>
      <c r="I57" s="937"/>
      <c r="J57" s="937"/>
      <c r="K57" s="938"/>
      <c r="L57" s="964"/>
      <c r="M57" s="964"/>
      <c r="N57" s="964"/>
    </row>
    <row r="58" spans="1:15" s="928" customFormat="1" ht="15" customHeight="1">
      <c r="A58" s="576" t="s">
        <v>2065</v>
      </c>
      <c r="B58" s="573" t="s">
        <v>2066</v>
      </c>
      <c r="C58" s="944">
        <v>8.0000000000000002E-3</v>
      </c>
      <c r="D58" s="573" t="s">
        <v>2067</v>
      </c>
      <c r="E58" s="937">
        <f t="shared" si="4"/>
        <v>307</v>
      </c>
      <c r="F58" s="937">
        <f ca="1">'9.0중기목록'!$F$14</f>
        <v>13117</v>
      </c>
      <c r="G58" s="937">
        <f t="shared" si="5"/>
        <v>104</v>
      </c>
      <c r="H58" s="937">
        <f ca="1">'9.0중기목록'!$E$14</f>
        <v>17696</v>
      </c>
      <c r="I58" s="937">
        <f t="shared" ref="I58:I65" si="6">INT(C58*H58)</f>
        <v>141</v>
      </c>
      <c r="J58" s="937">
        <f ca="1">'9.0중기목록'!$G$14</f>
        <v>7823</v>
      </c>
      <c r="K58" s="938">
        <f>INT(C58*J58)</f>
        <v>62</v>
      </c>
      <c r="L58" s="964"/>
      <c r="M58" s="964"/>
      <c r="N58" s="964"/>
    </row>
    <row r="59" spans="1:15" s="928" customFormat="1" ht="15" customHeight="1">
      <c r="A59" s="942" t="s">
        <v>2109</v>
      </c>
      <c r="B59" s="573" t="s">
        <v>2110</v>
      </c>
      <c r="C59" s="944">
        <f>C58</f>
        <v>8.0000000000000002E-3</v>
      </c>
      <c r="D59" s="573" t="s">
        <v>2067</v>
      </c>
      <c r="E59" s="937">
        <f t="shared" si="4"/>
        <v>371</v>
      </c>
      <c r="F59" s="937">
        <f ca="1">'9.0중기목록'!$F$38</f>
        <v>19373</v>
      </c>
      <c r="G59" s="937">
        <f t="shared" si="5"/>
        <v>154</v>
      </c>
      <c r="H59" s="937">
        <f ca="1">'9.0중기목록'!$E$38</f>
        <v>17696</v>
      </c>
      <c r="I59" s="937">
        <f t="shared" si="6"/>
        <v>141</v>
      </c>
      <c r="J59" s="937">
        <f ca="1">'9.0중기목록'!$G$38</f>
        <v>9529</v>
      </c>
      <c r="K59" s="938">
        <f>INT(C59*J59)</f>
        <v>76</v>
      </c>
      <c r="L59" s="964"/>
      <c r="M59" s="984"/>
      <c r="N59" s="964"/>
    </row>
    <row r="60" spans="1:15" s="928" customFormat="1" ht="15" customHeight="1">
      <c r="A60" s="943" t="s">
        <v>2111</v>
      </c>
      <c r="B60" s="573" t="s">
        <v>2112</v>
      </c>
      <c r="C60" s="944">
        <f>C59</f>
        <v>8.0000000000000002E-3</v>
      </c>
      <c r="D60" s="573" t="s">
        <v>2067</v>
      </c>
      <c r="E60" s="937">
        <f t="shared" si="4"/>
        <v>276</v>
      </c>
      <c r="F60" s="937">
        <f ca="1">'9.0중기목록'!$F$12</f>
        <v>6640</v>
      </c>
      <c r="G60" s="937">
        <f t="shared" si="5"/>
        <v>53</v>
      </c>
      <c r="H60" s="937">
        <f ca="1">'9.0중기목록'!$E$12</f>
        <v>17696</v>
      </c>
      <c r="I60" s="937">
        <f t="shared" si="6"/>
        <v>141</v>
      </c>
      <c r="J60" s="937">
        <f ca="1">'9.0중기목록'!$G$12</f>
        <v>10362</v>
      </c>
      <c r="K60" s="938">
        <f>INT(C60*J60)</f>
        <v>82</v>
      </c>
      <c r="L60" s="965"/>
      <c r="M60" s="965"/>
      <c r="N60" s="965"/>
      <c r="O60" s="931"/>
    </row>
    <row r="61" spans="1:15" s="928" customFormat="1" ht="15" customHeight="1">
      <c r="A61" s="942" t="s">
        <v>2068</v>
      </c>
      <c r="B61" s="573" t="s">
        <v>2069</v>
      </c>
      <c r="C61" s="944">
        <f>C60</f>
        <v>8.0000000000000002E-3</v>
      </c>
      <c r="D61" s="573" t="s">
        <v>2067</v>
      </c>
      <c r="E61" s="937">
        <f t="shared" si="4"/>
        <v>340</v>
      </c>
      <c r="F61" s="937">
        <f>F19</f>
        <v>10217</v>
      </c>
      <c r="G61" s="937">
        <f t="shared" si="5"/>
        <v>81</v>
      </c>
      <c r="H61" s="937">
        <f>H19</f>
        <v>16611</v>
      </c>
      <c r="I61" s="937">
        <f t="shared" si="6"/>
        <v>132</v>
      </c>
      <c r="J61" s="937">
        <f>J19</f>
        <v>15971</v>
      </c>
      <c r="K61" s="938">
        <f>INT(C61*J61)</f>
        <v>127</v>
      </c>
      <c r="L61" s="964"/>
      <c r="M61" s="964"/>
      <c r="N61" s="964"/>
    </row>
    <row r="62" spans="1:15" s="928" customFormat="1" ht="15" customHeight="1">
      <c r="A62" s="576" t="s">
        <v>2070</v>
      </c>
      <c r="B62" s="573"/>
      <c r="C62" s="944">
        <v>3.0000000000000001E-3</v>
      </c>
      <c r="D62" s="573" t="s">
        <v>2071</v>
      </c>
      <c r="E62" s="937">
        <f t="shared" si="4"/>
        <v>276</v>
      </c>
      <c r="F62" s="937"/>
      <c r="G62" s="937"/>
      <c r="H62" s="937">
        <f ca="1">'11.0시중노임'!$F$4</f>
        <v>92218</v>
      </c>
      <c r="I62" s="937">
        <f t="shared" si="6"/>
        <v>276</v>
      </c>
      <c r="J62" s="937"/>
      <c r="K62" s="938"/>
      <c r="L62" s="964"/>
      <c r="M62" s="964"/>
      <c r="N62" s="964"/>
    </row>
    <row r="63" spans="1:15" s="928" customFormat="1" ht="15" customHeight="1">
      <c r="A63" s="576" t="s">
        <v>2072</v>
      </c>
      <c r="B63" s="573"/>
      <c r="C63" s="944">
        <v>6.0000000000000001E-3</v>
      </c>
      <c r="D63" s="573" t="s">
        <v>2071</v>
      </c>
      <c r="E63" s="937">
        <f t="shared" si="4"/>
        <v>506</v>
      </c>
      <c r="F63" s="937"/>
      <c r="G63" s="937"/>
      <c r="H63" s="937">
        <f ca="1">'11.0시중노임'!$F$5</f>
        <v>84404</v>
      </c>
      <c r="I63" s="937">
        <f t="shared" si="6"/>
        <v>506</v>
      </c>
      <c r="J63" s="937"/>
      <c r="K63" s="938"/>
      <c r="L63" s="964"/>
      <c r="M63" s="964"/>
      <c r="N63" s="964"/>
    </row>
    <row r="64" spans="1:15" s="928" customFormat="1" ht="15" customHeight="1">
      <c r="A64" s="576" t="s">
        <v>2073</v>
      </c>
      <c r="B64" s="573"/>
      <c r="C64" s="944">
        <v>3.0000000000000001E-3</v>
      </c>
      <c r="D64" s="573" t="s">
        <v>2071</v>
      </c>
      <c r="E64" s="937">
        <f t="shared" si="4"/>
        <v>259</v>
      </c>
      <c r="F64" s="937"/>
      <c r="G64" s="937"/>
      <c r="H64" s="937">
        <f ca="1">'11.0시중노임'!$F$12</f>
        <v>86521</v>
      </c>
      <c r="I64" s="937">
        <f t="shared" si="6"/>
        <v>259</v>
      </c>
      <c r="J64" s="937"/>
      <c r="K64" s="938"/>
      <c r="L64" s="964"/>
      <c r="M64" s="964"/>
      <c r="N64" s="964"/>
    </row>
    <row r="65" spans="1:14" s="928" customFormat="1" ht="15" customHeight="1">
      <c r="A65" s="576" t="s">
        <v>2074</v>
      </c>
      <c r="B65" s="573"/>
      <c r="C65" s="944">
        <v>1.2E-2</v>
      </c>
      <c r="D65" s="573" t="s">
        <v>2071</v>
      </c>
      <c r="E65" s="937">
        <f t="shared" si="4"/>
        <v>827</v>
      </c>
      <c r="F65" s="937"/>
      <c r="G65" s="937"/>
      <c r="H65" s="937">
        <f ca="1">'11.0시중노임'!$F$6</f>
        <v>68965</v>
      </c>
      <c r="I65" s="937">
        <f t="shared" si="6"/>
        <v>827</v>
      </c>
      <c r="J65" s="937"/>
      <c r="K65" s="938"/>
      <c r="L65" s="964"/>
      <c r="M65" s="984"/>
      <c r="N65" s="964"/>
    </row>
    <row r="66" spans="1:14" s="969" customFormat="1" ht="15" customHeight="1">
      <c r="A66" s="942" t="s">
        <v>2096</v>
      </c>
      <c r="B66" s="967" t="s">
        <v>2097</v>
      </c>
      <c r="C66" s="1088">
        <v>3</v>
      </c>
      <c r="D66" s="967" t="s">
        <v>2098</v>
      </c>
      <c r="E66" s="937">
        <f t="shared" si="4"/>
        <v>437.76</v>
      </c>
      <c r="F66" s="937">
        <f>SUM(G53:G61)</f>
        <v>14592</v>
      </c>
      <c r="G66" s="937">
        <f>F66*C66/100</f>
        <v>437.76</v>
      </c>
      <c r="H66" s="937"/>
      <c r="I66" s="937"/>
      <c r="J66" s="967"/>
      <c r="K66" s="968"/>
    </row>
    <row r="67" spans="1:14" s="969" customFormat="1" ht="15" customHeight="1">
      <c r="A67" s="942" t="s">
        <v>2113</v>
      </c>
      <c r="B67" s="967" t="s">
        <v>2114</v>
      </c>
      <c r="C67" s="1088">
        <v>3</v>
      </c>
      <c r="D67" s="967" t="s">
        <v>2098</v>
      </c>
      <c r="E67" s="937">
        <f t="shared" si="4"/>
        <v>72.69</v>
      </c>
      <c r="F67" s="937"/>
      <c r="G67" s="937"/>
      <c r="H67" s="937">
        <f>SUM(I58:I65)</f>
        <v>2423</v>
      </c>
      <c r="I67" s="937">
        <f>H67*C67/100</f>
        <v>72.69</v>
      </c>
      <c r="J67" s="967"/>
      <c r="K67" s="968"/>
    </row>
    <row r="68" spans="1:14" s="956" customFormat="1" ht="15" customHeight="1">
      <c r="A68" s="971" t="s">
        <v>2075</v>
      </c>
      <c r="B68" s="986"/>
      <c r="C68" s="987"/>
      <c r="D68" s="986"/>
      <c r="E68" s="973">
        <f t="shared" si="4"/>
        <v>17872.45</v>
      </c>
      <c r="F68" s="973"/>
      <c r="G68" s="973">
        <f>SUM(G53:G67)</f>
        <v>15029.76</v>
      </c>
      <c r="H68" s="973"/>
      <c r="I68" s="973">
        <f>SUM(I53:I67)</f>
        <v>2495.69</v>
      </c>
      <c r="J68" s="973"/>
      <c r="K68" s="988">
        <f>SUM(K53:K67)</f>
        <v>347</v>
      </c>
      <c r="L68" s="989"/>
      <c r="M68" s="989"/>
      <c r="N68" s="989"/>
    </row>
    <row r="69" spans="1:14" s="956" customFormat="1" ht="15" customHeight="1">
      <c r="A69" s="1093"/>
      <c r="B69" s="1094"/>
      <c r="C69" s="986"/>
      <c r="D69" s="987"/>
      <c r="E69" s="973"/>
      <c r="F69" s="973"/>
      <c r="G69" s="973"/>
      <c r="H69" s="973"/>
      <c r="I69" s="973"/>
      <c r="J69" s="973"/>
      <c r="K69" s="1095"/>
      <c r="L69" s="989"/>
      <c r="M69" s="989"/>
      <c r="N69" s="989"/>
    </row>
    <row r="70" spans="1:14" s="956" customFormat="1" ht="15" customHeight="1">
      <c r="A70" s="1093"/>
      <c r="B70" s="1094"/>
      <c r="C70" s="986"/>
      <c r="D70" s="987"/>
      <c r="E70" s="973"/>
      <c r="F70" s="973"/>
      <c r="G70" s="973"/>
      <c r="H70" s="973"/>
      <c r="I70" s="973"/>
      <c r="J70" s="973"/>
      <c r="K70" s="1095"/>
      <c r="L70" s="989"/>
      <c r="M70" s="989"/>
      <c r="N70" s="989"/>
    </row>
    <row r="71" spans="1:14" s="956" customFormat="1" ht="15" customHeight="1">
      <c r="A71" s="1093"/>
      <c r="B71" s="1094"/>
      <c r="C71" s="986"/>
      <c r="D71" s="987"/>
      <c r="E71" s="973"/>
      <c r="F71" s="973"/>
      <c r="G71" s="973"/>
      <c r="H71" s="973"/>
      <c r="I71" s="973"/>
      <c r="J71" s="973"/>
      <c r="K71" s="1095"/>
      <c r="L71" s="989"/>
      <c r="M71" s="989"/>
      <c r="N71" s="989"/>
    </row>
    <row r="72" spans="1:14" s="956" customFormat="1" ht="15" customHeight="1">
      <c r="A72" s="1093"/>
      <c r="B72" s="1094"/>
      <c r="C72" s="986"/>
      <c r="D72" s="987"/>
      <c r="E72" s="973"/>
      <c r="F72" s="973"/>
      <c r="G72" s="973"/>
      <c r="H72" s="973"/>
      <c r="I72" s="973"/>
      <c r="J72" s="973"/>
      <c r="K72" s="1095"/>
      <c r="L72" s="989"/>
      <c r="M72" s="989"/>
      <c r="N72" s="989"/>
    </row>
    <row r="73" spans="1:14" s="956" customFormat="1" ht="15" customHeight="1">
      <c r="A73" s="1093"/>
      <c r="B73" s="1094"/>
      <c r="C73" s="986"/>
      <c r="D73" s="987"/>
      <c r="E73" s="973"/>
      <c r="F73" s="973"/>
      <c r="G73" s="973"/>
      <c r="H73" s="973"/>
      <c r="I73" s="973"/>
      <c r="J73" s="973"/>
      <c r="K73" s="1095"/>
      <c r="L73" s="989"/>
      <c r="M73" s="989"/>
      <c r="N73" s="989"/>
    </row>
    <row r="74" spans="1:14" s="956" customFormat="1" ht="15" customHeight="1">
      <c r="A74" s="1093"/>
      <c r="B74" s="1094"/>
      <c r="C74" s="986"/>
      <c r="D74" s="987"/>
      <c r="E74" s="973"/>
      <c r="F74" s="973"/>
      <c r="G74" s="973"/>
      <c r="H74" s="973"/>
      <c r="I74" s="973"/>
      <c r="J74" s="973"/>
      <c r="K74" s="1095"/>
      <c r="L74" s="989"/>
      <c r="M74" s="989"/>
      <c r="N74" s="989"/>
    </row>
    <row r="75" spans="1:14" s="956" customFormat="1" ht="15" customHeight="1">
      <c r="A75" s="1093"/>
      <c r="B75" s="1094"/>
      <c r="C75" s="986"/>
      <c r="D75" s="987"/>
      <c r="E75" s="973"/>
      <c r="F75" s="973"/>
      <c r="G75" s="973"/>
      <c r="H75" s="973"/>
      <c r="I75" s="973"/>
      <c r="J75" s="973"/>
      <c r="K75" s="1095"/>
      <c r="L75" s="989"/>
      <c r="M75" s="989"/>
      <c r="N75" s="989"/>
    </row>
    <row r="76" spans="1:14" s="956" customFormat="1" ht="15" customHeight="1">
      <c r="A76" s="1093"/>
      <c r="B76" s="1094"/>
      <c r="C76" s="986"/>
      <c r="D76" s="987"/>
      <c r="E76" s="973"/>
      <c r="F76" s="973"/>
      <c r="G76" s="973"/>
      <c r="H76" s="973"/>
      <c r="I76" s="973"/>
      <c r="J76" s="973"/>
      <c r="K76" s="1095"/>
      <c r="L76" s="989"/>
      <c r="M76" s="989"/>
      <c r="N76" s="989"/>
    </row>
    <row r="77" spans="1:14" s="956" customFormat="1" ht="15" customHeight="1">
      <c r="A77" s="1093"/>
      <c r="B77" s="1094"/>
      <c r="C77" s="986"/>
      <c r="D77" s="987"/>
      <c r="E77" s="973"/>
      <c r="F77" s="973"/>
      <c r="G77" s="973"/>
      <c r="H77" s="973"/>
      <c r="I77" s="973"/>
      <c r="J77" s="973"/>
      <c r="K77" s="1095"/>
      <c r="L77" s="989"/>
      <c r="M77" s="989"/>
      <c r="N77" s="989"/>
    </row>
    <row r="78" spans="1:14" s="956" customFormat="1" ht="15" customHeight="1">
      <c r="A78" s="1093"/>
      <c r="B78" s="1094"/>
      <c r="C78" s="986"/>
      <c r="D78" s="987"/>
      <c r="E78" s="973"/>
      <c r="F78" s="973"/>
      <c r="G78" s="973"/>
      <c r="H78" s="973"/>
      <c r="I78" s="973"/>
      <c r="J78" s="973"/>
      <c r="K78" s="1095"/>
      <c r="L78" s="989"/>
      <c r="M78" s="989"/>
      <c r="N78" s="989"/>
    </row>
    <row r="79" spans="1:14" s="956" customFormat="1" ht="15" customHeight="1">
      <c r="A79" s="1093"/>
      <c r="B79" s="1094"/>
      <c r="C79" s="986"/>
      <c r="D79" s="987"/>
      <c r="E79" s="973"/>
      <c r="F79" s="973"/>
      <c r="G79" s="973"/>
      <c r="H79" s="973"/>
      <c r="I79" s="973"/>
      <c r="J79" s="973"/>
      <c r="K79" s="1095"/>
      <c r="L79" s="989"/>
      <c r="M79" s="989"/>
      <c r="N79" s="989"/>
    </row>
    <row r="80" spans="1:14" s="956" customFormat="1" ht="15" customHeight="1">
      <c r="A80" s="1093"/>
      <c r="B80" s="1094"/>
      <c r="C80" s="986"/>
      <c r="D80" s="987"/>
      <c r="E80" s="973"/>
      <c r="F80" s="973"/>
      <c r="G80" s="973"/>
      <c r="H80" s="973"/>
      <c r="I80" s="973"/>
      <c r="J80" s="973"/>
      <c r="K80" s="1095"/>
      <c r="L80" s="989"/>
      <c r="M80" s="989"/>
      <c r="N80" s="989"/>
    </row>
    <row r="81" spans="1:14" s="928" customFormat="1" ht="15" customHeight="1">
      <c r="A81" s="947"/>
      <c r="B81" s="1096"/>
      <c r="C81" s="945"/>
      <c r="D81" s="945"/>
      <c r="E81" s="937"/>
      <c r="F81" s="945"/>
      <c r="G81" s="945"/>
      <c r="H81" s="945"/>
      <c r="I81" s="945"/>
      <c r="J81" s="945"/>
      <c r="K81" s="950"/>
      <c r="L81" s="964"/>
      <c r="M81" s="964"/>
      <c r="N81" s="964"/>
    </row>
    <row r="82" spans="1:14" s="956" customFormat="1" ht="15" customHeight="1">
      <c r="A82" s="951" t="s">
        <v>2076</v>
      </c>
      <c r="B82" s="952"/>
      <c r="C82" s="952"/>
      <c r="D82" s="953"/>
      <c r="E82" s="954">
        <f>E68+E51</f>
        <v>21051.95</v>
      </c>
      <c r="F82" s="954"/>
      <c r="G82" s="954">
        <f>G68+G51</f>
        <v>15802.26</v>
      </c>
      <c r="H82" s="954"/>
      <c r="I82" s="954">
        <f>I68+I51</f>
        <v>4902.6900000000005</v>
      </c>
      <c r="J82" s="954"/>
      <c r="K82" s="955">
        <f>K68+K51</f>
        <v>347</v>
      </c>
      <c r="L82" s="989"/>
      <c r="M82" s="989"/>
      <c r="N82" s="989"/>
    </row>
    <row r="83" spans="1:14" ht="26.1" customHeight="1">
      <c r="A83" s="1669" t="s">
        <v>2115</v>
      </c>
      <c r="B83" s="1669"/>
      <c r="C83" s="1669"/>
      <c r="D83" s="1669"/>
      <c r="E83" s="1669"/>
      <c r="F83" s="1669"/>
      <c r="G83" s="1669"/>
      <c r="H83" s="1669"/>
      <c r="I83" s="1669"/>
      <c r="J83" s="1669"/>
      <c r="K83" s="1669"/>
    </row>
    <row r="84" spans="1:14" s="928" customFormat="1" ht="13.5" customHeight="1">
      <c r="A84" s="925"/>
      <c r="B84" s="925"/>
      <c r="C84" s="925"/>
      <c r="D84" s="926"/>
      <c r="E84" s="926"/>
      <c r="F84" s="925"/>
      <c r="G84" s="925"/>
      <c r="H84" s="925"/>
      <c r="I84" s="925"/>
      <c r="J84" s="925"/>
      <c r="K84" s="927" t="s">
        <v>2078</v>
      </c>
      <c r="L84" s="964"/>
      <c r="M84" s="964"/>
      <c r="N84" s="964"/>
    </row>
    <row r="85" spans="1:14" s="928" customFormat="1" ht="20.100000000000001" customHeight="1">
      <c r="A85" s="1689" t="s">
        <v>2079</v>
      </c>
      <c r="B85" s="1670" t="s">
        <v>2080</v>
      </c>
      <c r="C85" s="1670" t="s">
        <v>2081</v>
      </c>
      <c r="D85" s="1670" t="s">
        <v>2082</v>
      </c>
      <c r="E85" s="1672" t="s">
        <v>2083</v>
      </c>
      <c r="F85" s="1670" t="s">
        <v>2084</v>
      </c>
      <c r="G85" s="1670"/>
      <c r="H85" s="1670" t="s">
        <v>2085</v>
      </c>
      <c r="I85" s="1670"/>
      <c r="J85" s="1670" t="s">
        <v>2086</v>
      </c>
      <c r="K85" s="1674"/>
      <c r="L85" s="964"/>
      <c r="M85" s="964"/>
      <c r="N85" s="964"/>
    </row>
    <row r="86" spans="1:14" s="931" customFormat="1" ht="20.100000000000001" customHeight="1">
      <c r="A86" s="1690"/>
      <c r="B86" s="1671"/>
      <c r="C86" s="1671"/>
      <c r="D86" s="1671"/>
      <c r="E86" s="1673"/>
      <c r="F86" s="929" t="s">
        <v>2087</v>
      </c>
      <c r="G86" s="929" t="s">
        <v>2088</v>
      </c>
      <c r="H86" s="929" t="s">
        <v>2087</v>
      </c>
      <c r="I86" s="929" t="s">
        <v>2088</v>
      </c>
      <c r="J86" s="929" t="s">
        <v>2087</v>
      </c>
      <c r="K86" s="930" t="s">
        <v>2088</v>
      </c>
      <c r="L86" s="965"/>
      <c r="M86" s="965"/>
      <c r="N86" s="965"/>
    </row>
    <row r="87" spans="1:14" s="1008" customFormat="1" ht="20.100000000000001" customHeight="1">
      <c r="A87" s="1005" t="s">
        <v>2089</v>
      </c>
      <c r="B87" s="1006"/>
      <c r="C87" s="1006"/>
      <c r="D87" s="1006"/>
      <c r="E87" s="1006"/>
      <c r="F87" s="1006"/>
      <c r="G87" s="1006"/>
      <c r="H87" s="1006"/>
      <c r="I87" s="1006"/>
      <c r="J87" s="1006"/>
      <c r="K87" s="1007"/>
    </row>
    <row r="88" spans="1:14" s="1014" customFormat="1" ht="20.100000000000001" customHeight="1">
      <c r="A88" s="1085" t="s">
        <v>2090</v>
      </c>
      <c r="B88" s="1086" t="s">
        <v>2116</v>
      </c>
      <c r="C88" s="1011">
        <v>1.2</v>
      </c>
      <c r="D88" s="1010" t="s">
        <v>2092</v>
      </c>
      <c r="E88" s="1012">
        <f t="shared" ref="E88:E93" si="7">G88+I88+K88</f>
        <v>600</v>
      </c>
      <c r="F88" s="1010">
        <f ca="1">'8.0자재단가'!$I$59</f>
        <v>500</v>
      </c>
      <c r="G88" s="1012">
        <f>INT(C88*F88)</f>
        <v>600</v>
      </c>
      <c r="H88" s="1010"/>
      <c r="I88" s="1010"/>
      <c r="J88" s="1010"/>
      <c r="K88" s="1013"/>
    </row>
    <row r="89" spans="1:14" s="1014" customFormat="1" ht="20.100000000000001" customHeight="1">
      <c r="A89" s="1085" t="s">
        <v>2093</v>
      </c>
      <c r="B89" s="1086" t="s">
        <v>2094</v>
      </c>
      <c r="C89" s="1011">
        <v>0.5</v>
      </c>
      <c r="D89" s="1010" t="s">
        <v>2095</v>
      </c>
      <c r="E89" s="1012">
        <f t="shared" si="7"/>
        <v>150</v>
      </c>
      <c r="F89" s="1010">
        <f ca="1">'8.0자재단가'!$I$61</f>
        <v>300</v>
      </c>
      <c r="G89" s="1012">
        <f>INT(C89*F89)</f>
        <v>150</v>
      </c>
      <c r="H89" s="1010"/>
      <c r="I89" s="1010"/>
      <c r="J89" s="1010"/>
      <c r="K89" s="1013"/>
    </row>
    <row r="90" spans="1:14" s="1014" customFormat="1" ht="20.100000000000001" customHeight="1">
      <c r="A90" s="1009" t="s">
        <v>2070</v>
      </c>
      <c r="B90" s="1010"/>
      <c r="C90" s="1015">
        <v>2E-3</v>
      </c>
      <c r="D90" s="1010" t="s">
        <v>2071</v>
      </c>
      <c r="E90" s="1012">
        <f t="shared" si="7"/>
        <v>184</v>
      </c>
      <c r="F90" s="1012"/>
      <c r="G90" s="1012"/>
      <c r="H90" s="1012">
        <f ca="1">'11.0시중노임'!$F$4</f>
        <v>92218</v>
      </c>
      <c r="I90" s="1012">
        <f>INT(C90*H90)</f>
        <v>184</v>
      </c>
      <c r="J90" s="1012"/>
      <c r="K90" s="1016"/>
    </row>
    <row r="91" spans="1:14" s="1014" customFormat="1" ht="20.100000000000001" customHeight="1">
      <c r="A91" s="1009" t="s">
        <v>2072</v>
      </c>
      <c r="B91" s="1010"/>
      <c r="C91" s="1015">
        <v>0.01</v>
      </c>
      <c r="D91" s="1010" t="s">
        <v>2071</v>
      </c>
      <c r="E91" s="1012">
        <f t="shared" si="7"/>
        <v>844</v>
      </c>
      <c r="F91" s="1012"/>
      <c r="G91" s="1012"/>
      <c r="H91" s="1012">
        <f ca="1">'11.0시중노임'!$F$5</f>
        <v>84404</v>
      </c>
      <c r="I91" s="1012">
        <f>INT(C91*H91)</f>
        <v>844</v>
      </c>
      <c r="J91" s="1010"/>
      <c r="K91" s="1013"/>
    </row>
    <row r="92" spans="1:14" s="1014" customFormat="1" ht="20.100000000000001" customHeight="1">
      <c r="A92" s="1009" t="s">
        <v>2074</v>
      </c>
      <c r="B92" s="1010"/>
      <c r="C92" s="1015">
        <v>0.02</v>
      </c>
      <c r="D92" s="1010" t="s">
        <v>2071</v>
      </c>
      <c r="E92" s="1012">
        <f t="shared" si="7"/>
        <v>1379</v>
      </c>
      <c r="F92" s="1012"/>
      <c r="G92" s="1012"/>
      <c r="H92" s="1012">
        <f ca="1">'11.0시중노임'!$F$6</f>
        <v>68965</v>
      </c>
      <c r="I92" s="1012">
        <f>INT(C92*H92)</f>
        <v>1379</v>
      </c>
      <c r="J92" s="1010"/>
      <c r="K92" s="1013"/>
    </row>
    <row r="93" spans="1:14" s="969" customFormat="1" ht="15" customHeight="1">
      <c r="A93" s="1087" t="s">
        <v>2096</v>
      </c>
      <c r="B93" s="967" t="s">
        <v>2097</v>
      </c>
      <c r="C93" s="1088">
        <v>3</v>
      </c>
      <c r="D93" s="967" t="s">
        <v>2098</v>
      </c>
      <c r="E93" s="937">
        <f t="shared" si="7"/>
        <v>22.5</v>
      </c>
      <c r="F93" s="937">
        <f>SUM(G88:G89)</f>
        <v>750</v>
      </c>
      <c r="G93" s="937">
        <f>F93*C93/100</f>
        <v>22.5</v>
      </c>
      <c r="H93" s="937"/>
      <c r="I93" s="937"/>
      <c r="J93" s="967"/>
      <c r="K93" s="968"/>
    </row>
    <row r="94" spans="1:14" s="1021" customFormat="1" ht="20.100000000000001" customHeight="1">
      <c r="A94" s="1017" t="s">
        <v>2099</v>
      </c>
      <c r="B94" s="1018"/>
      <c r="C94" s="1018"/>
      <c r="D94" s="1018"/>
      <c r="E94" s="1019">
        <f>SUM(E88:E93)</f>
        <v>3179.5</v>
      </c>
      <c r="F94" s="1018"/>
      <c r="G94" s="1019">
        <f>SUM(G88:G93)</f>
        <v>772.5</v>
      </c>
      <c r="H94" s="1018"/>
      <c r="I94" s="1019">
        <f>SUM(I88:I93)</f>
        <v>2407</v>
      </c>
      <c r="J94" s="1018"/>
      <c r="K94" s="1020"/>
    </row>
    <row r="95" spans="1:14" s="965" customFormat="1" ht="15" customHeight="1">
      <c r="A95" s="966" t="s">
        <v>2100</v>
      </c>
      <c r="B95" s="967"/>
      <c r="C95" s="967"/>
      <c r="D95" s="967"/>
      <c r="E95" s="1089"/>
      <c r="F95" s="967"/>
      <c r="G95" s="967"/>
      <c r="H95" s="967"/>
      <c r="I95" s="967"/>
      <c r="J95" s="967"/>
      <c r="K95" s="968"/>
    </row>
    <row r="96" spans="1:14" s="931" customFormat="1" ht="15" customHeight="1">
      <c r="A96" s="1090" t="s">
        <v>2101</v>
      </c>
      <c r="B96" s="573" t="s">
        <v>2102</v>
      </c>
      <c r="C96" s="944">
        <v>0.04</v>
      </c>
      <c r="D96" s="573" t="s">
        <v>2103</v>
      </c>
      <c r="E96" s="937">
        <f t="shared" ref="E96:E111" si="8">G96+I96+K96</f>
        <v>4800</v>
      </c>
      <c r="F96" s="937">
        <f ca="1">'8.0자재단가'!I48</f>
        <v>120000</v>
      </c>
      <c r="G96" s="937">
        <f>INT(C96*F96)</f>
        <v>4800</v>
      </c>
      <c r="H96" s="937"/>
      <c r="I96" s="937"/>
      <c r="J96" s="937"/>
      <c r="K96" s="938"/>
      <c r="L96" s="965"/>
      <c r="M96" s="965"/>
      <c r="N96" s="965"/>
    </row>
    <row r="97" spans="1:15" s="928" customFormat="1" ht="15" customHeight="1">
      <c r="A97" s="1090" t="s">
        <v>2104</v>
      </c>
      <c r="B97" s="573" t="s">
        <v>2105</v>
      </c>
      <c r="C97" s="944">
        <v>0.4</v>
      </c>
      <c r="D97" s="573" t="s">
        <v>2103</v>
      </c>
      <c r="E97" s="1091">
        <f t="shared" si="8"/>
        <v>0</v>
      </c>
      <c r="F97" s="937">
        <f ca="1">'8.0자재단가'!I49</f>
        <v>12000</v>
      </c>
      <c r="G97" s="1091">
        <v>0</v>
      </c>
      <c r="H97" s="937"/>
      <c r="I97" s="937"/>
      <c r="J97" s="937"/>
      <c r="K97" s="938"/>
      <c r="L97" s="964"/>
      <c r="M97" s="964"/>
      <c r="N97" s="964"/>
    </row>
    <row r="98" spans="1:15" s="928" customFormat="1" ht="15" customHeight="1">
      <c r="A98" s="1085" t="s">
        <v>2106</v>
      </c>
      <c r="B98" s="1086" t="s">
        <v>2107</v>
      </c>
      <c r="C98" s="944"/>
      <c r="D98" s="573" t="s">
        <v>2108</v>
      </c>
      <c r="E98" s="1091">
        <f t="shared" si="8"/>
        <v>0</v>
      </c>
      <c r="F98" s="937">
        <f ca="1">'8.0자재단가'!I50</f>
        <v>1500</v>
      </c>
      <c r="G98" s="1091">
        <v>0</v>
      </c>
      <c r="H98" s="937"/>
      <c r="I98" s="937"/>
      <c r="J98" s="937"/>
      <c r="K98" s="938"/>
      <c r="L98" s="964"/>
      <c r="M98" s="964"/>
      <c r="N98" s="964"/>
    </row>
    <row r="99" spans="1:15" s="928" customFormat="1" ht="15" customHeight="1">
      <c r="A99" s="1085" t="s">
        <v>2060</v>
      </c>
      <c r="B99" s="1086" t="s">
        <v>2061</v>
      </c>
      <c r="C99" s="992">
        <v>18.2</v>
      </c>
      <c r="D99" s="573" t="s">
        <v>2062</v>
      </c>
      <c r="E99" s="937">
        <f t="shared" si="8"/>
        <v>13468</v>
      </c>
      <c r="F99" s="937">
        <f ca="1">'8.0자재단가'!I54</f>
        <v>740</v>
      </c>
      <c r="G99" s="937">
        <f t="shared" ref="G99:G104" si="9">INT(C99*F99)</f>
        <v>13468</v>
      </c>
      <c r="H99" s="937"/>
      <c r="I99" s="937"/>
      <c r="J99" s="937"/>
      <c r="K99" s="938"/>
      <c r="L99" s="964"/>
      <c r="M99" s="983"/>
      <c r="N99" s="983"/>
    </row>
    <row r="100" spans="1:15" s="928" customFormat="1" ht="15" customHeight="1">
      <c r="A100" s="1085" t="s">
        <v>2063</v>
      </c>
      <c r="B100" s="1086" t="s">
        <v>2064</v>
      </c>
      <c r="C100" s="1092">
        <v>0.27</v>
      </c>
      <c r="D100" s="573" t="s">
        <v>2062</v>
      </c>
      <c r="E100" s="937">
        <f t="shared" si="8"/>
        <v>4320</v>
      </c>
      <c r="F100" s="937">
        <f ca="1">'8.0자재단가'!$I$57</f>
        <v>16000</v>
      </c>
      <c r="G100" s="937">
        <f t="shared" si="9"/>
        <v>4320</v>
      </c>
      <c r="H100" s="937"/>
      <c r="I100" s="937"/>
      <c r="J100" s="937"/>
      <c r="K100" s="938"/>
      <c r="L100" s="964"/>
      <c r="M100" s="964"/>
      <c r="N100" s="964"/>
    </row>
    <row r="101" spans="1:15" s="928" customFormat="1" ht="15" customHeight="1">
      <c r="A101" s="576" t="s">
        <v>2065</v>
      </c>
      <c r="B101" s="573" t="s">
        <v>2066</v>
      </c>
      <c r="C101" s="944">
        <v>1.2E-2</v>
      </c>
      <c r="D101" s="573" t="s">
        <v>2067</v>
      </c>
      <c r="E101" s="937">
        <f t="shared" si="8"/>
        <v>462</v>
      </c>
      <c r="F101" s="937">
        <f ca="1">'9.0중기목록'!$F$14</f>
        <v>13117</v>
      </c>
      <c r="G101" s="937">
        <f t="shared" si="9"/>
        <v>157</v>
      </c>
      <c r="H101" s="937">
        <f ca="1">'9.0중기목록'!$E$14</f>
        <v>17696</v>
      </c>
      <c r="I101" s="937">
        <f t="shared" ref="I101:I108" si="10">INT(C101*H101)</f>
        <v>212</v>
      </c>
      <c r="J101" s="937">
        <f ca="1">'9.0중기목록'!$G$14</f>
        <v>7823</v>
      </c>
      <c r="K101" s="938">
        <f>INT(C101*J101)</f>
        <v>93</v>
      </c>
      <c r="L101" s="964"/>
      <c r="M101" s="964"/>
      <c r="N101" s="964"/>
    </row>
    <row r="102" spans="1:15" s="928" customFormat="1" ht="15" customHeight="1">
      <c r="A102" s="942" t="s">
        <v>2109</v>
      </c>
      <c r="B102" s="573" t="s">
        <v>2110</v>
      </c>
      <c r="C102" s="944">
        <v>1.2E-2</v>
      </c>
      <c r="D102" s="573" t="s">
        <v>2067</v>
      </c>
      <c r="E102" s="937">
        <f t="shared" si="8"/>
        <v>558</v>
      </c>
      <c r="F102" s="937">
        <f ca="1">'9.0중기목록'!$F$38</f>
        <v>19373</v>
      </c>
      <c r="G102" s="937">
        <f t="shared" si="9"/>
        <v>232</v>
      </c>
      <c r="H102" s="937">
        <f ca="1">'9.0중기목록'!$E$38</f>
        <v>17696</v>
      </c>
      <c r="I102" s="937">
        <f t="shared" si="10"/>
        <v>212</v>
      </c>
      <c r="J102" s="937">
        <f ca="1">'9.0중기목록'!$G$38</f>
        <v>9529</v>
      </c>
      <c r="K102" s="938">
        <f>INT(C102*J102)</f>
        <v>114</v>
      </c>
      <c r="L102" s="964"/>
      <c r="M102" s="984"/>
      <c r="N102" s="964"/>
    </row>
    <row r="103" spans="1:15" s="928" customFormat="1" ht="15" customHeight="1">
      <c r="A103" s="943" t="s">
        <v>2111</v>
      </c>
      <c r="B103" s="573" t="s">
        <v>2112</v>
      </c>
      <c r="C103" s="944">
        <v>1.2E-2</v>
      </c>
      <c r="D103" s="573" t="s">
        <v>2067</v>
      </c>
      <c r="E103" s="937">
        <f t="shared" si="8"/>
        <v>415</v>
      </c>
      <c r="F103" s="937">
        <f ca="1">'9.0중기목록'!$F$12</f>
        <v>6640</v>
      </c>
      <c r="G103" s="937">
        <f t="shared" si="9"/>
        <v>79</v>
      </c>
      <c r="H103" s="937">
        <f ca="1">'9.0중기목록'!$E$12</f>
        <v>17696</v>
      </c>
      <c r="I103" s="937">
        <f t="shared" si="10"/>
        <v>212</v>
      </c>
      <c r="J103" s="937">
        <f ca="1">'9.0중기목록'!$G$12</f>
        <v>10362</v>
      </c>
      <c r="K103" s="938">
        <f>INT(C103*J103)</f>
        <v>124</v>
      </c>
      <c r="L103" s="965"/>
      <c r="M103" s="965"/>
      <c r="N103" s="965"/>
      <c r="O103" s="931"/>
    </row>
    <row r="104" spans="1:15" s="928" customFormat="1" ht="15" customHeight="1">
      <c r="A104" s="942" t="s">
        <v>2068</v>
      </c>
      <c r="B104" s="573" t="s">
        <v>2069</v>
      </c>
      <c r="C104" s="944">
        <v>1.2E-2</v>
      </c>
      <c r="D104" s="573" t="s">
        <v>2067</v>
      </c>
      <c r="E104" s="937">
        <f t="shared" si="8"/>
        <v>512</v>
      </c>
      <c r="F104" s="937">
        <f>F61</f>
        <v>10217</v>
      </c>
      <c r="G104" s="937">
        <f t="shared" si="9"/>
        <v>122</v>
      </c>
      <c r="H104" s="937">
        <f>H61</f>
        <v>16611</v>
      </c>
      <c r="I104" s="937">
        <f t="shared" si="10"/>
        <v>199</v>
      </c>
      <c r="J104" s="937">
        <f>J61</f>
        <v>15971</v>
      </c>
      <c r="K104" s="938">
        <f>INT(C104*J104)</f>
        <v>191</v>
      </c>
      <c r="L104" s="964"/>
      <c r="M104" s="964"/>
      <c r="N104" s="964"/>
    </row>
    <row r="105" spans="1:15" s="928" customFormat="1" ht="15" customHeight="1">
      <c r="A105" s="576" t="s">
        <v>2070</v>
      </c>
      <c r="B105" s="573"/>
      <c r="C105" s="944">
        <v>5.0000000000000001E-3</v>
      </c>
      <c r="D105" s="573" t="s">
        <v>2071</v>
      </c>
      <c r="E105" s="937">
        <f t="shared" si="8"/>
        <v>461</v>
      </c>
      <c r="F105" s="937"/>
      <c r="G105" s="937"/>
      <c r="H105" s="937">
        <f ca="1">'11.0시중노임'!$F$4</f>
        <v>92218</v>
      </c>
      <c r="I105" s="937">
        <f t="shared" si="10"/>
        <v>461</v>
      </c>
      <c r="J105" s="937"/>
      <c r="K105" s="938"/>
      <c r="L105" s="964"/>
      <c r="M105" s="964"/>
      <c r="N105" s="964"/>
    </row>
    <row r="106" spans="1:15" s="928" customFormat="1" ht="15" customHeight="1">
      <c r="A106" s="576" t="s">
        <v>2072</v>
      </c>
      <c r="B106" s="573"/>
      <c r="C106" s="944">
        <v>0.01</v>
      </c>
      <c r="D106" s="573" t="s">
        <v>2071</v>
      </c>
      <c r="E106" s="937">
        <f t="shared" si="8"/>
        <v>844</v>
      </c>
      <c r="F106" s="937"/>
      <c r="G106" s="937"/>
      <c r="H106" s="937">
        <f ca="1">'11.0시중노임'!$F$5</f>
        <v>84404</v>
      </c>
      <c r="I106" s="937">
        <f t="shared" si="10"/>
        <v>844</v>
      </c>
      <c r="J106" s="937"/>
      <c r="K106" s="938"/>
      <c r="L106" s="964"/>
      <c r="M106" s="964"/>
      <c r="N106" s="964"/>
    </row>
    <row r="107" spans="1:15" s="928" customFormat="1" ht="15" customHeight="1">
      <c r="A107" s="576" t="s">
        <v>2073</v>
      </c>
      <c r="B107" s="573"/>
      <c r="C107" s="944">
        <v>5.0000000000000001E-3</v>
      </c>
      <c r="D107" s="573" t="s">
        <v>2071</v>
      </c>
      <c r="E107" s="937">
        <f t="shared" si="8"/>
        <v>432</v>
      </c>
      <c r="F107" s="937"/>
      <c r="G107" s="937"/>
      <c r="H107" s="937">
        <f ca="1">'11.0시중노임'!$F$12</f>
        <v>86521</v>
      </c>
      <c r="I107" s="937">
        <f t="shared" si="10"/>
        <v>432</v>
      </c>
      <c r="J107" s="937"/>
      <c r="K107" s="938"/>
      <c r="L107" s="964"/>
      <c r="M107" s="964"/>
      <c r="N107" s="964"/>
    </row>
    <row r="108" spans="1:15" s="928" customFormat="1" ht="15" customHeight="1">
      <c r="A108" s="576" t="s">
        <v>2074</v>
      </c>
      <c r="B108" s="573"/>
      <c r="C108" s="944">
        <v>0.02</v>
      </c>
      <c r="D108" s="573" t="s">
        <v>2071</v>
      </c>
      <c r="E108" s="937">
        <f t="shared" si="8"/>
        <v>1379</v>
      </c>
      <c r="F108" s="937"/>
      <c r="G108" s="937"/>
      <c r="H108" s="937">
        <f ca="1">'11.0시중노임'!$F$6</f>
        <v>68965</v>
      </c>
      <c r="I108" s="937">
        <f t="shared" si="10"/>
        <v>1379</v>
      </c>
      <c r="J108" s="937"/>
      <c r="K108" s="938"/>
      <c r="L108" s="964"/>
      <c r="M108" s="984"/>
      <c r="N108" s="964"/>
    </row>
    <row r="109" spans="1:15" s="969" customFormat="1" ht="15" customHeight="1">
      <c r="A109" s="942" t="s">
        <v>2096</v>
      </c>
      <c r="B109" s="967" t="s">
        <v>2097</v>
      </c>
      <c r="C109" s="1088">
        <v>3</v>
      </c>
      <c r="D109" s="967" t="s">
        <v>2098</v>
      </c>
      <c r="E109" s="937">
        <f t="shared" si="8"/>
        <v>695.34</v>
      </c>
      <c r="F109" s="937">
        <f>SUM(G96:G104)</f>
        <v>23178</v>
      </c>
      <c r="G109" s="937">
        <f>F109*C109/100</f>
        <v>695.34</v>
      </c>
      <c r="H109" s="937"/>
      <c r="I109" s="937"/>
      <c r="J109" s="967"/>
      <c r="K109" s="968"/>
    </row>
    <row r="110" spans="1:15" s="969" customFormat="1" ht="15" customHeight="1">
      <c r="A110" s="942" t="s">
        <v>2113</v>
      </c>
      <c r="B110" s="967" t="s">
        <v>2114</v>
      </c>
      <c r="C110" s="1088">
        <v>3</v>
      </c>
      <c r="D110" s="967" t="s">
        <v>2098</v>
      </c>
      <c r="E110" s="937">
        <f t="shared" si="8"/>
        <v>118.53</v>
      </c>
      <c r="F110" s="937"/>
      <c r="G110" s="937"/>
      <c r="H110" s="937">
        <f>SUM(I101:I108)</f>
        <v>3951</v>
      </c>
      <c r="I110" s="937">
        <f>H110*C110/100</f>
        <v>118.53</v>
      </c>
      <c r="J110" s="967"/>
      <c r="K110" s="968"/>
    </row>
    <row r="111" spans="1:15" s="956" customFormat="1" ht="15" customHeight="1">
      <c r="A111" s="971" t="s">
        <v>2075</v>
      </c>
      <c r="B111" s="986"/>
      <c r="C111" s="987"/>
      <c r="D111" s="986"/>
      <c r="E111" s="973">
        <f t="shared" si="8"/>
        <v>28464.87</v>
      </c>
      <c r="F111" s="973"/>
      <c r="G111" s="973">
        <f>SUM(G96:G110)</f>
        <v>23873.34</v>
      </c>
      <c r="H111" s="973"/>
      <c r="I111" s="973">
        <f>SUM(I96:I110)</f>
        <v>4069.53</v>
      </c>
      <c r="J111" s="973"/>
      <c r="K111" s="988">
        <f>SUM(K96:K110)</f>
        <v>522</v>
      </c>
      <c r="L111" s="989"/>
      <c r="M111" s="989"/>
      <c r="N111" s="989"/>
    </row>
    <row r="112" spans="1:15" s="956" customFormat="1" ht="15" customHeight="1">
      <c r="A112" s="1093"/>
      <c r="B112" s="1094"/>
      <c r="C112" s="986"/>
      <c r="D112" s="987"/>
      <c r="E112" s="973"/>
      <c r="F112" s="973"/>
      <c r="G112" s="973"/>
      <c r="H112" s="973"/>
      <c r="I112" s="973"/>
      <c r="J112" s="973"/>
      <c r="K112" s="1095"/>
      <c r="L112" s="989"/>
      <c r="M112" s="989"/>
      <c r="N112" s="989"/>
    </row>
    <row r="113" spans="1:14" s="928" customFormat="1" ht="15" customHeight="1">
      <c r="A113" s="947"/>
      <c r="B113" s="1096"/>
      <c r="C113" s="945"/>
      <c r="D113" s="945"/>
      <c r="E113" s="937"/>
      <c r="F113" s="945"/>
      <c r="G113" s="945"/>
      <c r="H113" s="945"/>
      <c r="I113" s="945"/>
      <c r="J113" s="945"/>
      <c r="K113" s="950"/>
      <c r="L113" s="964"/>
      <c r="M113" s="964"/>
      <c r="N113" s="964"/>
    </row>
    <row r="114" spans="1:14" s="928" customFormat="1" ht="15" customHeight="1">
      <c r="A114" s="947"/>
      <c r="B114" s="1096"/>
      <c r="C114" s="945"/>
      <c r="D114" s="945"/>
      <c r="E114" s="937"/>
      <c r="F114" s="945"/>
      <c r="G114" s="945"/>
      <c r="H114" s="945"/>
      <c r="I114" s="945"/>
      <c r="J114" s="945"/>
      <c r="K114" s="950"/>
      <c r="L114" s="964"/>
      <c r="M114" s="964"/>
      <c r="N114" s="964"/>
    </row>
    <row r="115" spans="1:14" s="928" customFormat="1" ht="15" customHeight="1">
      <c r="A115" s="947"/>
      <c r="B115" s="1096"/>
      <c r="C115" s="945"/>
      <c r="D115" s="945"/>
      <c r="E115" s="937"/>
      <c r="F115" s="945"/>
      <c r="G115" s="945"/>
      <c r="H115" s="945"/>
      <c r="I115" s="945"/>
      <c r="J115" s="945"/>
      <c r="K115" s="950"/>
      <c r="L115" s="964"/>
      <c r="M115" s="964"/>
      <c r="N115" s="964"/>
    </row>
    <row r="116" spans="1:14" s="928" customFormat="1" ht="15" customHeight="1">
      <c r="A116" s="947"/>
      <c r="B116" s="1096"/>
      <c r="C116" s="945"/>
      <c r="D116" s="945"/>
      <c r="E116" s="937"/>
      <c r="F116" s="945"/>
      <c r="G116" s="945"/>
      <c r="H116" s="945"/>
      <c r="I116" s="945"/>
      <c r="J116" s="945"/>
      <c r="K116" s="950"/>
      <c r="L116" s="964"/>
      <c r="M116" s="964"/>
      <c r="N116" s="964"/>
    </row>
    <row r="117" spans="1:14" s="928" customFormat="1" ht="15" customHeight="1">
      <c r="A117" s="947"/>
      <c r="B117" s="1096"/>
      <c r="C117" s="945"/>
      <c r="D117" s="945"/>
      <c r="E117" s="937"/>
      <c r="F117" s="945"/>
      <c r="G117" s="945"/>
      <c r="H117" s="945"/>
      <c r="I117" s="945"/>
      <c r="J117" s="945"/>
      <c r="K117" s="950"/>
      <c r="L117" s="964"/>
      <c r="M117" s="964"/>
      <c r="N117" s="964"/>
    </row>
    <row r="118" spans="1:14" s="928" customFormat="1" ht="15" customHeight="1">
      <c r="A118" s="947"/>
      <c r="B118" s="1096"/>
      <c r="C118" s="945"/>
      <c r="D118" s="945"/>
      <c r="E118" s="937"/>
      <c r="F118" s="945"/>
      <c r="G118" s="945"/>
      <c r="H118" s="945"/>
      <c r="I118" s="945"/>
      <c r="J118" s="945"/>
      <c r="K118" s="950"/>
      <c r="L118" s="964"/>
      <c r="M118" s="964"/>
      <c r="N118" s="964"/>
    </row>
    <row r="119" spans="1:14" s="928" customFormat="1" ht="15" customHeight="1">
      <c r="A119" s="947"/>
      <c r="B119" s="1096"/>
      <c r="C119" s="945"/>
      <c r="D119" s="945"/>
      <c r="E119" s="937"/>
      <c r="F119" s="945"/>
      <c r="G119" s="945"/>
      <c r="H119" s="945"/>
      <c r="I119" s="945"/>
      <c r="J119" s="945"/>
      <c r="K119" s="950"/>
      <c r="L119" s="964"/>
      <c r="M119" s="964"/>
      <c r="N119" s="964"/>
    </row>
    <row r="120" spans="1:14" s="928" customFormat="1" ht="15" customHeight="1">
      <c r="A120" s="947"/>
      <c r="B120" s="1096"/>
      <c r="C120" s="945"/>
      <c r="D120" s="945"/>
      <c r="E120" s="937"/>
      <c r="F120" s="945"/>
      <c r="G120" s="945"/>
      <c r="H120" s="945"/>
      <c r="I120" s="945"/>
      <c r="J120" s="945"/>
      <c r="K120" s="950"/>
      <c r="L120" s="964"/>
      <c r="M120" s="964"/>
      <c r="N120" s="964"/>
    </row>
    <row r="121" spans="1:14" s="928" customFormat="1" ht="15" customHeight="1">
      <c r="A121" s="947"/>
      <c r="B121" s="1096"/>
      <c r="C121" s="945"/>
      <c r="D121" s="945"/>
      <c r="E121" s="937"/>
      <c r="F121" s="945"/>
      <c r="G121" s="945"/>
      <c r="H121" s="945"/>
      <c r="I121" s="945"/>
      <c r="J121" s="945"/>
      <c r="K121" s="950"/>
      <c r="L121" s="964"/>
      <c r="M121" s="964"/>
      <c r="N121" s="964"/>
    </row>
    <row r="122" spans="1:14" s="928" customFormat="1" ht="15" customHeight="1">
      <c r="A122" s="947"/>
      <c r="B122" s="1096"/>
      <c r="C122" s="945"/>
      <c r="D122" s="945"/>
      <c r="E122" s="937"/>
      <c r="F122" s="945"/>
      <c r="G122" s="945"/>
      <c r="H122" s="945"/>
      <c r="I122" s="945"/>
      <c r="J122" s="945"/>
      <c r="K122" s="950"/>
      <c r="L122" s="964"/>
      <c r="M122" s="964"/>
      <c r="N122" s="964"/>
    </row>
    <row r="123" spans="1:14" s="928" customFormat="1" ht="15" customHeight="1">
      <c r="A123" s="947"/>
      <c r="B123" s="1096"/>
      <c r="C123" s="945"/>
      <c r="D123" s="945"/>
      <c r="E123" s="937"/>
      <c r="F123" s="945"/>
      <c r="G123" s="945"/>
      <c r="H123" s="945"/>
      <c r="I123" s="945"/>
      <c r="J123" s="945"/>
      <c r="K123" s="950"/>
      <c r="L123" s="964"/>
      <c r="M123" s="964"/>
      <c r="N123" s="964"/>
    </row>
    <row r="124" spans="1:14" s="928" customFormat="1" ht="15" customHeight="1">
      <c r="A124" s="947"/>
      <c r="B124" s="1096"/>
      <c r="C124" s="945"/>
      <c r="D124" s="945"/>
      <c r="E124" s="937"/>
      <c r="F124" s="945"/>
      <c r="G124" s="945"/>
      <c r="H124" s="945"/>
      <c r="I124" s="945"/>
      <c r="J124" s="945"/>
      <c r="K124" s="950"/>
      <c r="L124" s="964"/>
      <c r="M124" s="964"/>
      <c r="N124" s="964"/>
    </row>
    <row r="125" spans="1:14" s="956" customFormat="1" ht="15" customHeight="1">
      <c r="A125" s="951" t="s">
        <v>2076</v>
      </c>
      <c r="B125" s="952"/>
      <c r="C125" s="952"/>
      <c r="D125" s="953"/>
      <c r="E125" s="954">
        <f>E111+E91</f>
        <v>29308.87</v>
      </c>
      <c r="F125" s="954"/>
      <c r="G125" s="954">
        <f>G111+G91</f>
        <v>23873.34</v>
      </c>
      <c r="H125" s="954"/>
      <c r="I125" s="954">
        <f>I111+I91</f>
        <v>4913.5300000000007</v>
      </c>
      <c r="J125" s="954"/>
      <c r="K125" s="955">
        <f>K111+K94</f>
        <v>522</v>
      </c>
      <c r="L125" s="989"/>
      <c r="M125" s="989"/>
      <c r="N125" s="989"/>
    </row>
    <row r="126" spans="1:14" ht="26.1" customHeight="1">
      <c r="A126" s="1748" t="s">
        <v>2117</v>
      </c>
      <c r="B126" s="1748"/>
      <c r="C126" s="1748"/>
      <c r="D126" s="1748"/>
      <c r="E126" s="1748"/>
      <c r="F126" s="1748"/>
      <c r="G126" s="1748"/>
      <c r="H126" s="1748"/>
      <c r="I126" s="1748"/>
      <c r="J126" s="1748"/>
      <c r="K126" s="1748"/>
    </row>
    <row r="127" spans="1:14" s="928" customFormat="1" ht="13.5" customHeight="1">
      <c r="A127" s="925"/>
      <c r="B127" s="925"/>
      <c r="C127" s="925"/>
      <c r="D127" s="926"/>
      <c r="E127" s="926"/>
      <c r="F127" s="925"/>
      <c r="G127" s="925"/>
      <c r="H127" s="925"/>
      <c r="I127" s="925"/>
      <c r="J127" s="925"/>
      <c r="K127" s="927" t="s">
        <v>2078</v>
      </c>
      <c r="L127" s="964"/>
      <c r="M127" s="964"/>
      <c r="N127" s="964"/>
    </row>
    <row r="128" spans="1:14" s="928" customFormat="1" ht="20.100000000000001" customHeight="1">
      <c r="A128" s="1689" t="s">
        <v>2079</v>
      </c>
      <c r="B128" s="1670" t="s">
        <v>2080</v>
      </c>
      <c r="C128" s="1670" t="s">
        <v>2081</v>
      </c>
      <c r="D128" s="1670" t="s">
        <v>2082</v>
      </c>
      <c r="E128" s="1672" t="s">
        <v>2083</v>
      </c>
      <c r="F128" s="1670" t="s">
        <v>2084</v>
      </c>
      <c r="G128" s="1670"/>
      <c r="H128" s="1670" t="s">
        <v>2085</v>
      </c>
      <c r="I128" s="1670"/>
      <c r="J128" s="1670" t="s">
        <v>2086</v>
      </c>
      <c r="K128" s="1674"/>
      <c r="L128" s="964"/>
      <c r="M128" s="964"/>
      <c r="N128" s="964"/>
    </row>
    <row r="129" spans="1:14" s="931" customFormat="1" ht="20.100000000000001" customHeight="1">
      <c r="A129" s="1690"/>
      <c r="B129" s="1671"/>
      <c r="C129" s="1671"/>
      <c r="D129" s="1671"/>
      <c r="E129" s="1673"/>
      <c r="F129" s="929" t="s">
        <v>2087</v>
      </c>
      <c r="G129" s="929" t="s">
        <v>2088</v>
      </c>
      <c r="H129" s="929" t="s">
        <v>2087</v>
      </c>
      <c r="I129" s="929" t="s">
        <v>2088</v>
      </c>
      <c r="J129" s="929" t="s">
        <v>2087</v>
      </c>
      <c r="K129" s="930" t="s">
        <v>2088</v>
      </c>
      <c r="L129" s="965"/>
      <c r="M129" s="965"/>
      <c r="N129" s="965"/>
    </row>
    <row r="130" spans="1:14" s="1008" customFormat="1" ht="20.100000000000001" customHeight="1">
      <c r="A130" s="1005" t="s">
        <v>2089</v>
      </c>
      <c r="B130" s="1006"/>
      <c r="C130" s="1006"/>
      <c r="D130" s="1006"/>
      <c r="E130" s="1006"/>
      <c r="F130" s="1006"/>
      <c r="G130" s="1006"/>
      <c r="H130" s="1006"/>
      <c r="I130" s="1006"/>
      <c r="J130" s="1006"/>
      <c r="K130" s="1007"/>
    </row>
    <row r="131" spans="1:14" s="1014" customFormat="1" ht="20.100000000000001" customHeight="1">
      <c r="A131" s="1085" t="s">
        <v>2090</v>
      </c>
      <c r="B131" s="1086" t="s">
        <v>2116</v>
      </c>
      <c r="C131" s="1011">
        <v>1.2</v>
      </c>
      <c r="D131" s="1010" t="s">
        <v>2092</v>
      </c>
      <c r="E131" s="1012">
        <f t="shared" ref="E131:E136" si="11">G131+I131+K131</f>
        <v>600</v>
      </c>
      <c r="F131" s="1010">
        <f ca="1">'8.0자재단가'!$I$59</f>
        <v>500</v>
      </c>
      <c r="G131" s="1012">
        <f>INT(C131*F131)</f>
        <v>600</v>
      </c>
      <c r="H131" s="1010"/>
      <c r="I131" s="1010"/>
      <c r="J131" s="1010"/>
      <c r="K131" s="1013"/>
    </row>
    <row r="132" spans="1:14" s="1014" customFormat="1" ht="20.100000000000001" customHeight="1">
      <c r="A132" s="1085" t="s">
        <v>2093</v>
      </c>
      <c r="B132" s="1086" t="s">
        <v>2094</v>
      </c>
      <c r="C132" s="1011">
        <v>0.5</v>
      </c>
      <c r="D132" s="1010" t="s">
        <v>2095</v>
      </c>
      <c r="E132" s="1012">
        <f t="shared" si="11"/>
        <v>150</v>
      </c>
      <c r="F132" s="1010">
        <f ca="1">'8.0자재단가'!$I$61</f>
        <v>300</v>
      </c>
      <c r="G132" s="1012">
        <f>INT(C132*F132)</f>
        <v>150</v>
      </c>
      <c r="H132" s="1010"/>
      <c r="I132" s="1010"/>
      <c r="J132" s="1010"/>
      <c r="K132" s="1013"/>
    </row>
    <row r="133" spans="1:14" s="1014" customFormat="1" ht="20.100000000000001" customHeight="1">
      <c r="A133" s="1009" t="s">
        <v>2070</v>
      </c>
      <c r="B133" s="1010"/>
      <c r="C133" s="1015">
        <v>2E-3</v>
      </c>
      <c r="D133" s="1010" t="s">
        <v>2071</v>
      </c>
      <c r="E133" s="1012">
        <f t="shared" si="11"/>
        <v>184</v>
      </c>
      <c r="F133" s="1012"/>
      <c r="G133" s="1012"/>
      <c r="H133" s="1012">
        <f ca="1">'11.0시중노임'!$F$4</f>
        <v>92218</v>
      </c>
      <c r="I133" s="1012">
        <f>INT(C133*H133)</f>
        <v>184</v>
      </c>
      <c r="J133" s="1012"/>
      <c r="K133" s="1016"/>
    </row>
    <row r="134" spans="1:14" s="1014" customFormat="1" ht="20.100000000000001" customHeight="1">
      <c r="A134" s="1009" t="s">
        <v>2072</v>
      </c>
      <c r="B134" s="1010"/>
      <c r="C134" s="1015">
        <v>0.01</v>
      </c>
      <c r="D134" s="1010" t="s">
        <v>2071</v>
      </c>
      <c r="E134" s="1012">
        <f t="shared" si="11"/>
        <v>844</v>
      </c>
      <c r="F134" s="1012"/>
      <c r="G134" s="1012"/>
      <c r="H134" s="1012">
        <f ca="1">'11.0시중노임'!$F$5</f>
        <v>84404</v>
      </c>
      <c r="I134" s="1012">
        <f>INT(C134*H134)</f>
        <v>844</v>
      </c>
      <c r="J134" s="1010"/>
      <c r="K134" s="1013"/>
    </row>
    <row r="135" spans="1:14" s="1014" customFormat="1" ht="20.100000000000001" customHeight="1">
      <c r="A135" s="1009" t="s">
        <v>2074</v>
      </c>
      <c r="B135" s="1010"/>
      <c r="C135" s="1015">
        <v>0.02</v>
      </c>
      <c r="D135" s="1010" t="s">
        <v>2071</v>
      </c>
      <c r="E135" s="1012">
        <f t="shared" si="11"/>
        <v>1379</v>
      </c>
      <c r="F135" s="1012"/>
      <c r="G135" s="1012"/>
      <c r="H135" s="1012">
        <f ca="1">'11.0시중노임'!$F$6</f>
        <v>68965</v>
      </c>
      <c r="I135" s="1012">
        <f>INT(C135*H135)</f>
        <v>1379</v>
      </c>
      <c r="J135" s="1010"/>
      <c r="K135" s="1013"/>
    </row>
    <row r="136" spans="1:14" s="969" customFormat="1" ht="15" customHeight="1">
      <c r="A136" s="1087" t="s">
        <v>2096</v>
      </c>
      <c r="B136" s="967" t="s">
        <v>2097</v>
      </c>
      <c r="C136" s="1088">
        <v>3</v>
      </c>
      <c r="D136" s="967" t="s">
        <v>2098</v>
      </c>
      <c r="E136" s="937">
        <f t="shared" si="11"/>
        <v>22.5</v>
      </c>
      <c r="F136" s="937">
        <f>SUM(G131:G132)</f>
        <v>750</v>
      </c>
      <c r="G136" s="937">
        <f>F136*C136/100</f>
        <v>22.5</v>
      </c>
      <c r="H136" s="937"/>
      <c r="I136" s="937"/>
      <c r="J136" s="967"/>
      <c r="K136" s="968"/>
    </row>
    <row r="137" spans="1:14" s="1021" customFormat="1" ht="20.100000000000001" customHeight="1">
      <c r="A137" s="1017" t="s">
        <v>2099</v>
      </c>
      <c r="B137" s="1018"/>
      <c r="C137" s="1018"/>
      <c r="D137" s="1018"/>
      <c r="E137" s="1019">
        <f>SUM(E131:E136)</f>
        <v>3179.5</v>
      </c>
      <c r="F137" s="1018"/>
      <c r="G137" s="1019">
        <f>SUM(G131:G136)</f>
        <v>772.5</v>
      </c>
      <c r="H137" s="1018"/>
      <c r="I137" s="1019">
        <f>SUM(I131:I136)</f>
        <v>2407</v>
      </c>
      <c r="J137" s="1018"/>
      <c r="K137" s="1020"/>
    </row>
    <row r="138" spans="1:14" s="965" customFormat="1" ht="15" customHeight="1">
      <c r="A138" s="966" t="s">
        <v>2100</v>
      </c>
      <c r="B138" s="967"/>
      <c r="C138" s="967"/>
      <c r="D138" s="967"/>
      <c r="E138" s="1089"/>
      <c r="F138" s="967"/>
      <c r="G138" s="967"/>
      <c r="H138" s="967"/>
      <c r="I138" s="967"/>
      <c r="J138" s="967"/>
      <c r="K138" s="968"/>
    </row>
    <row r="139" spans="1:14" s="931" customFormat="1" ht="15" customHeight="1">
      <c r="A139" s="1090" t="s">
        <v>2101</v>
      </c>
      <c r="B139" s="573" t="s">
        <v>2102</v>
      </c>
      <c r="C139" s="944">
        <v>0.04</v>
      </c>
      <c r="D139" s="573" t="s">
        <v>2103</v>
      </c>
      <c r="E139" s="937">
        <f t="shared" ref="E139:E154" si="12">G139+I139+K139</f>
        <v>4800</v>
      </c>
      <c r="F139" s="937">
        <f ca="1">'8.0자재단가'!I48</f>
        <v>120000</v>
      </c>
      <c r="G139" s="937">
        <f>INT(C139*F139)</f>
        <v>4800</v>
      </c>
      <c r="H139" s="937"/>
      <c r="I139" s="937"/>
      <c r="J139" s="937"/>
      <c r="K139" s="938"/>
      <c r="L139" s="965"/>
      <c r="M139" s="965"/>
      <c r="N139" s="965"/>
    </row>
    <row r="140" spans="1:14" s="928" customFormat="1" ht="15" customHeight="1">
      <c r="A140" s="1090" t="s">
        <v>2104</v>
      </c>
      <c r="B140" s="573" t="s">
        <v>2105</v>
      </c>
      <c r="C140" s="944">
        <v>0.4</v>
      </c>
      <c r="D140" s="573" t="s">
        <v>2103</v>
      </c>
      <c r="E140" s="1091">
        <f t="shared" si="12"/>
        <v>0</v>
      </c>
      <c r="F140" s="937">
        <f ca="1">'8.0자재단가'!I49</f>
        <v>12000</v>
      </c>
      <c r="G140" s="1091">
        <v>0</v>
      </c>
      <c r="H140" s="937"/>
      <c r="I140" s="937"/>
      <c r="J140" s="937"/>
      <c r="K140" s="938"/>
      <c r="L140" s="964"/>
      <c r="M140" s="964"/>
      <c r="N140" s="964"/>
    </row>
    <row r="141" spans="1:14" s="928" customFormat="1" ht="15" customHeight="1">
      <c r="A141" s="1085" t="s">
        <v>2106</v>
      </c>
      <c r="B141" s="1086" t="s">
        <v>2107</v>
      </c>
      <c r="C141" s="944"/>
      <c r="D141" s="573" t="s">
        <v>2108</v>
      </c>
      <c r="E141" s="1091">
        <f t="shared" si="12"/>
        <v>0</v>
      </c>
      <c r="F141" s="937">
        <f ca="1">'8.0자재단가'!I50</f>
        <v>1500</v>
      </c>
      <c r="G141" s="1091">
        <v>0</v>
      </c>
      <c r="H141" s="937"/>
      <c r="I141" s="937"/>
      <c r="J141" s="937"/>
      <c r="K141" s="938"/>
      <c r="L141" s="964"/>
      <c r="M141" s="964"/>
      <c r="N141" s="964"/>
    </row>
    <row r="142" spans="1:14" s="928" customFormat="1" ht="15" customHeight="1">
      <c r="A142" s="1085" t="s">
        <v>2060</v>
      </c>
      <c r="B142" s="1086" t="s">
        <v>2118</v>
      </c>
      <c r="C142" s="992">
        <v>25</v>
      </c>
      <c r="D142" s="573" t="s">
        <v>2062</v>
      </c>
      <c r="E142" s="937">
        <f t="shared" si="12"/>
        <v>18500</v>
      </c>
      <c r="F142" s="937">
        <f ca="1">'8.0자재단가'!I53</f>
        <v>740</v>
      </c>
      <c r="G142" s="937">
        <f t="shared" ref="G142:G147" si="13">INT(C142*F142)</f>
        <v>18500</v>
      </c>
      <c r="H142" s="937"/>
      <c r="I142" s="937"/>
      <c r="J142" s="937"/>
      <c r="K142" s="938"/>
      <c r="L142" s="964"/>
      <c r="M142" s="983"/>
      <c r="N142" s="983"/>
    </row>
    <row r="143" spans="1:14" s="928" customFormat="1" ht="15" customHeight="1">
      <c r="A143" s="1085" t="s">
        <v>2063</v>
      </c>
      <c r="B143" s="1086" t="s">
        <v>2064</v>
      </c>
      <c r="C143" s="1092">
        <v>0.38</v>
      </c>
      <c r="D143" s="573" t="s">
        <v>2062</v>
      </c>
      <c r="E143" s="937">
        <f t="shared" si="12"/>
        <v>6080</v>
      </c>
      <c r="F143" s="937">
        <f ca="1">'8.0자재단가'!$I$57</f>
        <v>16000</v>
      </c>
      <c r="G143" s="937">
        <f t="shared" si="13"/>
        <v>6080</v>
      </c>
      <c r="H143" s="937"/>
      <c r="I143" s="937"/>
      <c r="J143" s="937"/>
      <c r="K143" s="938"/>
      <c r="L143" s="964"/>
      <c r="M143" s="964"/>
      <c r="N143" s="964"/>
    </row>
    <row r="144" spans="1:14" s="928" customFormat="1" ht="15" customHeight="1">
      <c r="A144" s="576" t="s">
        <v>2065</v>
      </c>
      <c r="B144" s="573" t="s">
        <v>2066</v>
      </c>
      <c r="C144" s="944">
        <v>1.7999999999999999E-2</v>
      </c>
      <c r="D144" s="573" t="s">
        <v>2067</v>
      </c>
      <c r="E144" s="937">
        <f t="shared" si="12"/>
        <v>694</v>
      </c>
      <c r="F144" s="937">
        <f ca="1">'9.0중기목록'!$F$14</f>
        <v>13117</v>
      </c>
      <c r="G144" s="937">
        <f t="shared" si="13"/>
        <v>236</v>
      </c>
      <c r="H144" s="937">
        <f ca="1">'9.0중기목록'!$E$14</f>
        <v>17696</v>
      </c>
      <c r="I144" s="937">
        <f t="shared" ref="I144:I151" si="14">INT(C144*H144)</f>
        <v>318</v>
      </c>
      <c r="J144" s="937">
        <f ca="1">'9.0중기목록'!$G$14</f>
        <v>7823</v>
      </c>
      <c r="K144" s="938">
        <f>INT(C144*J144)</f>
        <v>140</v>
      </c>
      <c r="L144" s="964"/>
      <c r="M144" s="964"/>
      <c r="N144" s="964"/>
    </row>
    <row r="145" spans="1:15" s="928" customFormat="1" ht="15" customHeight="1">
      <c r="A145" s="942" t="s">
        <v>2109</v>
      </c>
      <c r="B145" s="573" t="s">
        <v>2110</v>
      </c>
      <c r="C145" s="944">
        <v>1.7999999999999999E-2</v>
      </c>
      <c r="D145" s="573" t="s">
        <v>2067</v>
      </c>
      <c r="E145" s="937">
        <f t="shared" si="12"/>
        <v>837</v>
      </c>
      <c r="F145" s="937">
        <f ca="1">'9.0중기목록'!$F$38</f>
        <v>19373</v>
      </c>
      <c r="G145" s="937">
        <f t="shared" si="13"/>
        <v>348</v>
      </c>
      <c r="H145" s="937">
        <f ca="1">'9.0중기목록'!$E$38</f>
        <v>17696</v>
      </c>
      <c r="I145" s="937">
        <f t="shared" si="14"/>
        <v>318</v>
      </c>
      <c r="J145" s="937">
        <f ca="1">'9.0중기목록'!$G$38</f>
        <v>9529</v>
      </c>
      <c r="K145" s="938">
        <f>INT(C145*J145)</f>
        <v>171</v>
      </c>
      <c r="L145" s="964"/>
      <c r="M145" s="984"/>
      <c r="N145" s="964"/>
    </row>
    <row r="146" spans="1:15" s="928" customFormat="1" ht="15" customHeight="1">
      <c r="A146" s="943" t="s">
        <v>2111</v>
      </c>
      <c r="B146" s="573" t="s">
        <v>2112</v>
      </c>
      <c r="C146" s="944">
        <v>1.7999999999999999E-2</v>
      </c>
      <c r="D146" s="573" t="s">
        <v>2067</v>
      </c>
      <c r="E146" s="937">
        <f t="shared" si="12"/>
        <v>623</v>
      </c>
      <c r="F146" s="937">
        <f ca="1">'9.0중기목록'!$F$12</f>
        <v>6640</v>
      </c>
      <c r="G146" s="937">
        <f t="shared" si="13"/>
        <v>119</v>
      </c>
      <c r="H146" s="937">
        <f ca="1">'9.0중기목록'!$E$12</f>
        <v>17696</v>
      </c>
      <c r="I146" s="937">
        <f t="shared" si="14"/>
        <v>318</v>
      </c>
      <c r="J146" s="937">
        <f ca="1">'9.0중기목록'!$G$12</f>
        <v>10362</v>
      </c>
      <c r="K146" s="938">
        <f>INT(C146*J146)</f>
        <v>186</v>
      </c>
      <c r="L146" s="965"/>
      <c r="M146" s="965"/>
      <c r="N146" s="965"/>
      <c r="O146" s="931"/>
    </row>
    <row r="147" spans="1:15" s="928" customFormat="1" ht="15" customHeight="1">
      <c r="A147" s="942" t="s">
        <v>2068</v>
      </c>
      <c r="B147" s="573" t="s">
        <v>2069</v>
      </c>
      <c r="C147" s="944">
        <v>1.7999999999999999E-2</v>
      </c>
      <c r="D147" s="573" t="s">
        <v>2067</v>
      </c>
      <c r="E147" s="937">
        <f t="shared" si="12"/>
        <v>768</v>
      </c>
      <c r="F147" s="937">
        <f>F104</f>
        <v>10217</v>
      </c>
      <c r="G147" s="937">
        <f t="shared" si="13"/>
        <v>183</v>
      </c>
      <c r="H147" s="937">
        <f>H104</f>
        <v>16611</v>
      </c>
      <c r="I147" s="937">
        <f t="shared" si="14"/>
        <v>298</v>
      </c>
      <c r="J147" s="937">
        <f>J104</f>
        <v>15971</v>
      </c>
      <c r="K147" s="938">
        <f>INT(C147*J147)</f>
        <v>287</v>
      </c>
      <c r="L147" s="964"/>
      <c r="M147" s="964"/>
      <c r="N147" s="964"/>
    </row>
    <row r="148" spans="1:15" s="928" customFormat="1" ht="15" customHeight="1">
      <c r="A148" s="576" t="s">
        <v>2070</v>
      </c>
      <c r="B148" s="573"/>
      <c r="C148" s="944">
        <v>8.0000000000000002E-3</v>
      </c>
      <c r="D148" s="573" t="s">
        <v>2071</v>
      </c>
      <c r="E148" s="937">
        <f t="shared" si="12"/>
        <v>737</v>
      </c>
      <c r="F148" s="937"/>
      <c r="G148" s="937"/>
      <c r="H148" s="937">
        <f ca="1">'11.0시중노임'!$F$4</f>
        <v>92218</v>
      </c>
      <c r="I148" s="937">
        <f t="shared" si="14"/>
        <v>737</v>
      </c>
      <c r="J148" s="937"/>
      <c r="K148" s="938"/>
      <c r="L148" s="964"/>
      <c r="M148" s="964"/>
      <c r="N148" s="964"/>
    </row>
    <row r="149" spans="1:15" s="928" customFormat="1" ht="15" customHeight="1">
      <c r="A149" s="576" t="s">
        <v>2072</v>
      </c>
      <c r="B149" s="573"/>
      <c r="C149" s="944">
        <v>1.4999999999999999E-2</v>
      </c>
      <c r="D149" s="573" t="s">
        <v>2071</v>
      </c>
      <c r="E149" s="937">
        <f t="shared" si="12"/>
        <v>1266</v>
      </c>
      <c r="F149" s="937"/>
      <c r="G149" s="937"/>
      <c r="H149" s="937">
        <f ca="1">'11.0시중노임'!$F$5</f>
        <v>84404</v>
      </c>
      <c r="I149" s="937">
        <f t="shared" si="14"/>
        <v>1266</v>
      </c>
      <c r="J149" s="937"/>
      <c r="K149" s="938"/>
      <c r="L149" s="964"/>
      <c r="M149" s="964"/>
      <c r="N149" s="964"/>
    </row>
    <row r="150" spans="1:15" s="928" customFormat="1" ht="15" customHeight="1">
      <c r="A150" s="576" t="s">
        <v>2073</v>
      </c>
      <c r="B150" s="573"/>
      <c r="C150" s="944">
        <v>8.0000000000000002E-3</v>
      </c>
      <c r="D150" s="573" t="s">
        <v>2071</v>
      </c>
      <c r="E150" s="937">
        <f t="shared" si="12"/>
        <v>692</v>
      </c>
      <c r="F150" s="937"/>
      <c r="G150" s="937"/>
      <c r="H150" s="937">
        <f ca="1">'11.0시중노임'!$F$12</f>
        <v>86521</v>
      </c>
      <c r="I150" s="937">
        <f t="shared" si="14"/>
        <v>692</v>
      </c>
      <c r="J150" s="937"/>
      <c r="K150" s="938"/>
      <c r="L150" s="964"/>
      <c r="M150" s="964"/>
      <c r="N150" s="964"/>
    </row>
    <row r="151" spans="1:15" s="928" customFormat="1" ht="15" customHeight="1">
      <c r="A151" s="576" t="s">
        <v>2074</v>
      </c>
      <c r="B151" s="573"/>
      <c r="C151" s="944">
        <v>0.03</v>
      </c>
      <c r="D151" s="573" t="s">
        <v>2071</v>
      </c>
      <c r="E151" s="937">
        <f t="shared" si="12"/>
        <v>2068</v>
      </c>
      <c r="F151" s="937"/>
      <c r="G151" s="937"/>
      <c r="H151" s="937">
        <f ca="1">'11.0시중노임'!$F$6</f>
        <v>68965</v>
      </c>
      <c r="I151" s="937">
        <f t="shared" si="14"/>
        <v>2068</v>
      </c>
      <c r="J151" s="937"/>
      <c r="K151" s="938"/>
      <c r="L151" s="964"/>
      <c r="M151" s="984"/>
      <c r="N151" s="964"/>
    </row>
    <row r="152" spans="1:15" s="969" customFormat="1" ht="15" customHeight="1">
      <c r="A152" s="942" t="s">
        <v>2096</v>
      </c>
      <c r="B152" s="967" t="s">
        <v>2097</v>
      </c>
      <c r="C152" s="1088">
        <v>3</v>
      </c>
      <c r="D152" s="967" t="s">
        <v>2098</v>
      </c>
      <c r="E152" s="937">
        <f t="shared" si="12"/>
        <v>907.98</v>
      </c>
      <c r="F152" s="937">
        <f>SUM(G139:G147)</f>
        <v>30266</v>
      </c>
      <c r="G152" s="937">
        <f>F152*C152/100</f>
        <v>907.98</v>
      </c>
      <c r="H152" s="937"/>
      <c r="I152" s="937"/>
      <c r="J152" s="967"/>
      <c r="K152" s="968"/>
    </row>
    <row r="153" spans="1:15" s="969" customFormat="1" ht="15" customHeight="1">
      <c r="A153" s="942" t="s">
        <v>2113</v>
      </c>
      <c r="B153" s="967" t="s">
        <v>2114</v>
      </c>
      <c r="C153" s="1088">
        <v>3</v>
      </c>
      <c r="D153" s="967" t="s">
        <v>2098</v>
      </c>
      <c r="E153" s="937">
        <f t="shared" si="12"/>
        <v>180.45</v>
      </c>
      <c r="F153" s="937"/>
      <c r="G153" s="937"/>
      <c r="H153" s="937">
        <f>SUM(I144:I151)</f>
        <v>6015</v>
      </c>
      <c r="I153" s="937">
        <f>H153*C153/100</f>
        <v>180.45</v>
      </c>
      <c r="J153" s="967"/>
      <c r="K153" s="968"/>
    </row>
    <row r="154" spans="1:15" s="956" customFormat="1" ht="15" customHeight="1">
      <c r="A154" s="971" t="s">
        <v>2075</v>
      </c>
      <c r="B154" s="986"/>
      <c r="C154" s="987"/>
      <c r="D154" s="986"/>
      <c r="E154" s="973">
        <f t="shared" si="12"/>
        <v>38153.43</v>
      </c>
      <c r="F154" s="973"/>
      <c r="G154" s="973">
        <f>SUM(G139:G153)</f>
        <v>31173.98</v>
      </c>
      <c r="H154" s="973"/>
      <c r="I154" s="973">
        <f>SUM(I139:I153)</f>
        <v>6195.45</v>
      </c>
      <c r="J154" s="973"/>
      <c r="K154" s="988">
        <f>SUM(K139:K153)</f>
        <v>784</v>
      </c>
      <c r="L154" s="989"/>
      <c r="M154" s="989"/>
      <c r="N154" s="989"/>
    </row>
    <row r="155" spans="1:15" s="956" customFormat="1" ht="15" customHeight="1">
      <c r="A155" s="1093"/>
      <c r="B155" s="1094"/>
      <c r="C155" s="986"/>
      <c r="D155" s="987"/>
      <c r="E155" s="973"/>
      <c r="F155" s="973"/>
      <c r="G155" s="973"/>
      <c r="H155" s="973"/>
      <c r="I155" s="973"/>
      <c r="J155" s="973"/>
      <c r="K155" s="1095"/>
      <c r="L155" s="989"/>
      <c r="M155" s="989"/>
      <c r="N155" s="989"/>
    </row>
    <row r="156" spans="1:15" s="956" customFormat="1" ht="15" customHeight="1">
      <c r="A156" s="1093"/>
      <c r="B156" s="1094"/>
      <c r="C156" s="986"/>
      <c r="D156" s="987"/>
      <c r="E156" s="973"/>
      <c r="F156" s="973"/>
      <c r="G156" s="973"/>
      <c r="H156" s="973"/>
      <c r="I156" s="973"/>
      <c r="J156" s="973"/>
      <c r="K156" s="1095"/>
      <c r="L156" s="989"/>
      <c r="M156" s="989"/>
      <c r="N156" s="989"/>
    </row>
    <row r="157" spans="1:15" s="956" customFormat="1" ht="15" customHeight="1">
      <c r="A157" s="1093"/>
      <c r="B157" s="1094"/>
      <c r="C157" s="986"/>
      <c r="D157" s="987"/>
      <c r="E157" s="973"/>
      <c r="F157" s="973"/>
      <c r="G157" s="973"/>
      <c r="H157" s="973"/>
      <c r="I157" s="973"/>
      <c r="J157" s="973"/>
      <c r="K157" s="1095"/>
      <c r="L157" s="989"/>
      <c r="M157" s="989"/>
      <c r="N157" s="989"/>
    </row>
    <row r="158" spans="1:15" s="956" customFormat="1" ht="15" customHeight="1">
      <c r="A158" s="1093"/>
      <c r="B158" s="1094"/>
      <c r="C158" s="986"/>
      <c r="D158" s="987"/>
      <c r="E158" s="973"/>
      <c r="F158" s="973"/>
      <c r="G158" s="973"/>
      <c r="H158" s="973"/>
      <c r="I158" s="973"/>
      <c r="J158" s="973"/>
      <c r="K158" s="1095"/>
      <c r="L158" s="989"/>
      <c r="M158" s="989"/>
      <c r="N158" s="989"/>
    </row>
    <row r="159" spans="1:15" s="956" customFormat="1" ht="15" customHeight="1">
      <c r="A159" s="1093"/>
      <c r="B159" s="1094"/>
      <c r="C159" s="986"/>
      <c r="D159" s="987"/>
      <c r="E159" s="973"/>
      <c r="F159" s="973"/>
      <c r="G159" s="973"/>
      <c r="H159" s="973"/>
      <c r="I159" s="973"/>
      <c r="J159" s="973"/>
      <c r="K159" s="1095"/>
      <c r="L159" s="989"/>
      <c r="M159" s="989"/>
      <c r="N159" s="989"/>
    </row>
    <row r="160" spans="1:15" s="956" customFormat="1" ht="15" customHeight="1">
      <c r="A160" s="1093"/>
      <c r="B160" s="1094"/>
      <c r="C160" s="986"/>
      <c r="D160" s="987"/>
      <c r="E160" s="973"/>
      <c r="F160" s="973"/>
      <c r="G160" s="973"/>
      <c r="H160" s="973"/>
      <c r="I160" s="973"/>
      <c r="J160" s="973"/>
      <c r="K160" s="1095"/>
      <c r="L160" s="989"/>
      <c r="M160" s="989"/>
      <c r="N160" s="989"/>
    </row>
    <row r="161" spans="1:14" s="956" customFormat="1" ht="15" customHeight="1">
      <c r="A161" s="1093"/>
      <c r="B161" s="1094"/>
      <c r="C161" s="986"/>
      <c r="D161" s="987"/>
      <c r="E161" s="973"/>
      <c r="F161" s="973"/>
      <c r="G161" s="973"/>
      <c r="H161" s="973"/>
      <c r="I161" s="973"/>
      <c r="J161" s="973"/>
      <c r="K161" s="1095"/>
      <c r="L161" s="989"/>
      <c r="M161" s="989"/>
      <c r="N161" s="989"/>
    </row>
    <row r="162" spans="1:14" s="956" customFormat="1" ht="15" customHeight="1">
      <c r="A162" s="1093"/>
      <c r="B162" s="1094"/>
      <c r="C162" s="986"/>
      <c r="D162" s="987"/>
      <c r="E162" s="973"/>
      <c r="F162" s="973"/>
      <c r="G162" s="973"/>
      <c r="H162" s="973"/>
      <c r="I162" s="973"/>
      <c r="J162" s="973"/>
      <c r="K162" s="1095"/>
      <c r="L162" s="989"/>
      <c r="M162" s="989"/>
      <c r="N162" s="989"/>
    </row>
    <row r="163" spans="1:14" s="956" customFormat="1" ht="15" customHeight="1">
      <c r="A163" s="1093"/>
      <c r="B163" s="1094"/>
      <c r="C163" s="986"/>
      <c r="D163" s="987"/>
      <c r="E163" s="973"/>
      <c r="F163" s="973"/>
      <c r="G163" s="973"/>
      <c r="H163" s="973"/>
      <c r="I163" s="973"/>
      <c r="J163" s="973"/>
      <c r="K163" s="1095"/>
      <c r="L163" s="989"/>
      <c r="M163" s="989"/>
      <c r="N163" s="989"/>
    </row>
    <row r="164" spans="1:14" s="956" customFormat="1" ht="15" customHeight="1">
      <c r="A164" s="1093"/>
      <c r="B164" s="1094"/>
      <c r="C164" s="986"/>
      <c r="D164" s="987"/>
      <c r="E164" s="973"/>
      <c r="F164" s="973"/>
      <c r="G164" s="973"/>
      <c r="H164" s="973"/>
      <c r="I164" s="973"/>
      <c r="J164" s="973"/>
      <c r="K164" s="1095"/>
      <c r="L164" s="989"/>
      <c r="M164" s="989"/>
      <c r="N164" s="989"/>
    </row>
    <row r="165" spans="1:14" s="956" customFormat="1" ht="15" customHeight="1">
      <c r="A165" s="1093"/>
      <c r="B165" s="1094"/>
      <c r="C165" s="986"/>
      <c r="D165" s="987"/>
      <c r="E165" s="973"/>
      <c r="F165" s="973"/>
      <c r="G165" s="973"/>
      <c r="H165" s="973"/>
      <c r="I165" s="973"/>
      <c r="J165" s="973"/>
      <c r="K165" s="1095"/>
      <c r="L165" s="989"/>
      <c r="M165" s="989"/>
      <c r="N165" s="989"/>
    </row>
    <row r="166" spans="1:14" s="956" customFormat="1" ht="15" customHeight="1">
      <c r="A166" s="1093"/>
      <c r="B166" s="1094"/>
      <c r="C166" s="986"/>
      <c r="D166" s="987"/>
      <c r="E166" s="973"/>
      <c r="F166" s="973"/>
      <c r="G166" s="973"/>
      <c r="H166" s="973"/>
      <c r="I166" s="973"/>
      <c r="J166" s="973"/>
      <c r="K166" s="1095"/>
      <c r="L166" s="989"/>
      <c r="M166" s="989"/>
      <c r="N166" s="989"/>
    </row>
    <row r="167" spans="1:14" s="956" customFormat="1" ht="15" customHeight="1">
      <c r="A167" s="1093"/>
      <c r="B167" s="1094"/>
      <c r="C167" s="986"/>
      <c r="D167" s="987"/>
      <c r="E167" s="973"/>
      <c r="F167" s="973"/>
      <c r="G167" s="973"/>
      <c r="H167" s="973"/>
      <c r="I167" s="973"/>
      <c r="J167" s="973"/>
      <c r="K167" s="1095"/>
      <c r="L167" s="989"/>
      <c r="M167" s="989"/>
      <c r="N167" s="989"/>
    </row>
    <row r="168" spans="1:14" s="928" customFormat="1" ht="15" customHeight="1">
      <c r="A168" s="947"/>
      <c r="B168" s="1096"/>
      <c r="C168" s="945"/>
      <c r="D168" s="945"/>
      <c r="E168" s="937"/>
      <c r="F168" s="945"/>
      <c r="G168" s="945"/>
      <c r="H168" s="945"/>
      <c r="I168" s="945"/>
      <c r="J168" s="945"/>
      <c r="K168" s="950"/>
      <c r="L168" s="964"/>
      <c r="M168" s="964"/>
      <c r="N168" s="964"/>
    </row>
    <row r="169" spans="1:14" s="956" customFormat="1" ht="15" customHeight="1">
      <c r="A169" s="951" t="s">
        <v>2076</v>
      </c>
      <c r="B169" s="952"/>
      <c r="C169" s="952"/>
      <c r="D169" s="953"/>
      <c r="E169" s="954">
        <f>E154+E137</f>
        <v>41332.93</v>
      </c>
      <c r="F169" s="954"/>
      <c r="G169" s="954">
        <f>G154+G137</f>
        <v>31946.48</v>
      </c>
      <c r="H169" s="954"/>
      <c r="I169" s="954">
        <f>I154+I137</f>
        <v>8602.4500000000007</v>
      </c>
      <c r="J169" s="954"/>
      <c r="K169" s="955">
        <f>K154+K137</f>
        <v>784</v>
      </c>
      <c r="L169" s="989"/>
      <c r="M169" s="989"/>
      <c r="N169" s="989"/>
    </row>
    <row r="170" spans="1:14" ht="26.1" customHeight="1">
      <c r="A170" s="1669" t="s">
        <v>2119</v>
      </c>
      <c r="B170" s="1669"/>
      <c r="C170" s="1669"/>
      <c r="D170" s="1669"/>
      <c r="E170" s="1669"/>
      <c r="F170" s="1669"/>
      <c r="G170" s="1669"/>
      <c r="H170" s="1669"/>
      <c r="I170" s="1669"/>
      <c r="J170" s="1669"/>
      <c r="K170" s="1669"/>
    </row>
    <row r="171" spans="1:14" s="928" customFormat="1" ht="13.5" customHeight="1">
      <c r="A171" s="925"/>
      <c r="B171" s="925"/>
      <c r="C171" s="925"/>
      <c r="D171" s="926"/>
      <c r="E171" s="926"/>
      <c r="F171" s="925"/>
      <c r="G171" s="925"/>
      <c r="H171" s="925"/>
      <c r="I171" s="925"/>
      <c r="J171" s="925"/>
      <c r="K171" s="927" t="s">
        <v>2078</v>
      </c>
      <c r="L171" s="964"/>
      <c r="M171" s="964"/>
      <c r="N171" s="964"/>
    </row>
    <row r="172" spans="1:14" s="928" customFormat="1" ht="20.100000000000001" customHeight="1">
      <c r="A172" s="1689" t="s">
        <v>2079</v>
      </c>
      <c r="B172" s="1670" t="s">
        <v>2080</v>
      </c>
      <c r="C172" s="1670" t="s">
        <v>2081</v>
      </c>
      <c r="D172" s="1670" t="s">
        <v>2082</v>
      </c>
      <c r="E172" s="1672" t="s">
        <v>2083</v>
      </c>
      <c r="F172" s="1670" t="s">
        <v>2084</v>
      </c>
      <c r="G172" s="1670"/>
      <c r="H172" s="1670" t="s">
        <v>2085</v>
      </c>
      <c r="I172" s="1670"/>
      <c r="J172" s="1670" t="s">
        <v>2086</v>
      </c>
      <c r="K172" s="1674"/>
      <c r="L172" s="964"/>
      <c r="M172" s="964"/>
      <c r="N172" s="964"/>
    </row>
    <row r="173" spans="1:14" s="931" customFormat="1" ht="20.100000000000001" customHeight="1">
      <c r="A173" s="1690"/>
      <c r="B173" s="1671"/>
      <c r="C173" s="1671"/>
      <c r="D173" s="1671"/>
      <c r="E173" s="1673"/>
      <c r="F173" s="929" t="s">
        <v>2087</v>
      </c>
      <c r="G173" s="929" t="s">
        <v>2088</v>
      </c>
      <c r="H173" s="929" t="s">
        <v>2087</v>
      </c>
      <c r="I173" s="929" t="s">
        <v>2088</v>
      </c>
      <c r="J173" s="929" t="s">
        <v>2087</v>
      </c>
      <c r="K173" s="930" t="s">
        <v>2088</v>
      </c>
      <c r="L173" s="965"/>
      <c r="M173" s="965"/>
      <c r="N173" s="965"/>
    </row>
    <row r="174" spans="1:14" s="969" customFormat="1" ht="15" customHeight="1">
      <c r="A174" s="966" t="s">
        <v>2120</v>
      </c>
      <c r="B174" s="967"/>
      <c r="C174" s="967"/>
      <c r="D174" s="967"/>
      <c r="E174" s="967"/>
      <c r="F174" s="967"/>
      <c r="G174" s="967"/>
      <c r="H174" s="967"/>
      <c r="I174" s="967"/>
      <c r="J174" s="967"/>
      <c r="K174" s="968"/>
    </row>
    <row r="175" spans="1:14" s="969" customFormat="1" ht="15" customHeight="1">
      <c r="A175" s="942" t="s">
        <v>2121</v>
      </c>
      <c r="B175" s="970" t="s">
        <v>2122</v>
      </c>
      <c r="C175" s="945">
        <f ca="1">'3.0수량표'!$H$5</f>
        <v>1.9E-2</v>
      </c>
      <c r="D175" s="573" t="s">
        <v>2067</v>
      </c>
      <c r="E175" s="937">
        <f>G175+I175+K175</f>
        <v>576</v>
      </c>
      <c r="F175" s="937">
        <f ca="1">'9.0중기목록'!$F$34</f>
        <v>11704</v>
      </c>
      <c r="G175" s="937">
        <f ca="1">INT(C175*F175)</f>
        <v>222</v>
      </c>
      <c r="H175" s="937">
        <f ca="1">'9.0중기목록'!$E$34</f>
        <v>14915</v>
      </c>
      <c r="I175" s="937">
        <f ca="1">INT(C175*H175)</f>
        <v>283</v>
      </c>
      <c r="J175" s="937">
        <f ca="1">'9.0중기목록'!$G$34</f>
        <v>3752</v>
      </c>
      <c r="K175" s="938">
        <f>INT(C175*J175)</f>
        <v>71</v>
      </c>
    </row>
    <row r="176" spans="1:14" s="969" customFormat="1" ht="15" customHeight="1">
      <c r="A176" s="942" t="s">
        <v>2123</v>
      </c>
      <c r="B176" s="970"/>
      <c r="C176" s="945">
        <f ca="1">'3.0수량표'!$H$6</f>
        <v>1.2E-2</v>
      </c>
      <c r="D176" s="967" t="s">
        <v>2071</v>
      </c>
      <c r="E176" s="937">
        <f>G176+I176+K176</f>
        <v>954</v>
      </c>
      <c r="F176" s="937"/>
      <c r="G176" s="937"/>
      <c r="H176" s="937">
        <f ca="1">'11.0시중노임'!$F$3</f>
        <v>79533</v>
      </c>
      <c r="I176" s="937">
        <f>INT(C176*H176)</f>
        <v>954</v>
      </c>
      <c r="J176" s="967"/>
      <c r="K176" s="968"/>
    </row>
    <row r="177" spans="1:11" s="969" customFormat="1" ht="15" customHeight="1">
      <c r="A177" s="942" t="s">
        <v>2124</v>
      </c>
      <c r="B177" s="970"/>
      <c r="C177" s="945">
        <f ca="1">'3.0수량표'!$H$7</f>
        <v>1.2E-2</v>
      </c>
      <c r="D177" s="967" t="s">
        <v>2071</v>
      </c>
      <c r="E177" s="937">
        <f>G177+I177+K177</f>
        <v>827</v>
      </c>
      <c r="F177" s="937"/>
      <c r="G177" s="937"/>
      <c r="H177" s="937">
        <f ca="1">'11.0시중노임'!$F$6</f>
        <v>68965</v>
      </c>
      <c r="I177" s="937">
        <f>INT(C177*H177)</f>
        <v>827</v>
      </c>
      <c r="J177" s="967"/>
      <c r="K177" s="968"/>
    </row>
    <row r="178" spans="1:11" s="969" customFormat="1" ht="15" customHeight="1">
      <c r="A178" s="943" t="s">
        <v>2125</v>
      </c>
      <c r="B178" s="573" t="s">
        <v>2126</v>
      </c>
      <c r="C178" s="945">
        <f ca="1">'3.0수량표'!$H$8</f>
        <v>2.5</v>
      </c>
      <c r="D178" s="573" t="s">
        <v>2098</v>
      </c>
      <c r="E178" s="937">
        <f>G178+I178+K178</f>
        <v>51</v>
      </c>
      <c r="F178" s="937"/>
      <c r="G178" s="937"/>
      <c r="H178" s="937"/>
      <c r="I178" s="937"/>
      <c r="J178" s="937">
        <f>SUM(I175:I177)</f>
        <v>2064</v>
      </c>
      <c r="K178" s="938">
        <f>INT(C178*J178/100)</f>
        <v>51</v>
      </c>
    </row>
    <row r="179" spans="1:11" s="976" customFormat="1" ht="15" customHeight="1">
      <c r="A179" s="971" t="s">
        <v>2099</v>
      </c>
      <c r="B179" s="972"/>
      <c r="C179" s="972"/>
      <c r="D179" s="972"/>
      <c r="E179" s="973">
        <f>G179+I179+K179</f>
        <v>2408</v>
      </c>
      <c r="F179" s="972"/>
      <c r="G179" s="974">
        <f>SUM(G175:G178)</f>
        <v>222</v>
      </c>
      <c r="H179" s="972"/>
      <c r="I179" s="974">
        <f>SUM(I175:I178)</f>
        <v>2064</v>
      </c>
      <c r="J179" s="972"/>
      <c r="K179" s="975">
        <f>SUM(K175:K178)</f>
        <v>122</v>
      </c>
    </row>
    <row r="180" spans="1:11" s="969" customFormat="1" ht="15" customHeight="1">
      <c r="A180" s="966" t="s">
        <v>2127</v>
      </c>
      <c r="B180" s="967"/>
      <c r="C180" s="967"/>
      <c r="D180" s="967"/>
      <c r="E180" s="967"/>
      <c r="F180" s="967"/>
      <c r="G180" s="967"/>
      <c r="H180" s="967"/>
      <c r="I180" s="967"/>
      <c r="J180" s="967"/>
      <c r="K180" s="968"/>
    </row>
    <row r="181" spans="1:11" s="969" customFormat="1" ht="15" customHeight="1">
      <c r="A181" s="942" t="s">
        <v>2093</v>
      </c>
      <c r="B181" s="967" t="s">
        <v>2128</v>
      </c>
      <c r="C181" s="967">
        <f ca="1">'3.0수량표'!$H$10</f>
        <v>0.23</v>
      </c>
      <c r="D181" s="967" t="s">
        <v>2095</v>
      </c>
      <c r="E181" s="937">
        <f>G181+I181+K181</f>
        <v>207</v>
      </c>
      <c r="F181" s="937">
        <f ca="1">'8.0자재단가'!I17</f>
        <v>900</v>
      </c>
      <c r="G181" s="937">
        <f>INT(C181*F181)</f>
        <v>207</v>
      </c>
      <c r="H181" s="967"/>
      <c r="I181" s="967"/>
      <c r="J181" s="967"/>
      <c r="K181" s="968"/>
    </row>
    <row r="182" spans="1:11" s="969" customFormat="1" ht="15" customHeight="1">
      <c r="A182" s="942" t="s">
        <v>2129</v>
      </c>
      <c r="B182" s="967" t="s">
        <v>2130</v>
      </c>
      <c r="C182" s="978">
        <f ca="1">'3.0수량표'!$H$11</f>
        <v>0.5</v>
      </c>
      <c r="D182" s="967" t="s">
        <v>2095</v>
      </c>
      <c r="E182" s="937">
        <f>G182+I182+K182</f>
        <v>250</v>
      </c>
      <c r="F182" s="937">
        <f ca="1">'8.0자재단가'!I16</f>
        <v>500</v>
      </c>
      <c r="G182" s="937">
        <f>INT(C182*F182)</f>
        <v>250</v>
      </c>
      <c r="H182" s="967"/>
      <c r="I182" s="967"/>
      <c r="J182" s="967"/>
      <c r="K182" s="968"/>
    </row>
    <row r="183" spans="1:11" s="969" customFormat="1" ht="15" customHeight="1">
      <c r="A183" s="942" t="s">
        <v>2072</v>
      </c>
      <c r="B183" s="967"/>
      <c r="C183" s="967">
        <f ca="1">'3.0수량표'!$H$12</f>
        <v>6.0000000000000001E-3</v>
      </c>
      <c r="D183" s="967" t="s">
        <v>2071</v>
      </c>
      <c r="E183" s="937">
        <f>G183+I183+K183</f>
        <v>506</v>
      </c>
      <c r="F183" s="937"/>
      <c r="G183" s="937"/>
      <c r="H183" s="937">
        <f ca="1">'11.0시중노임'!$F$5</f>
        <v>84404</v>
      </c>
      <c r="I183" s="937">
        <f>INT(C183*H183)</f>
        <v>506</v>
      </c>
      <c r="J183" s="967"/>
      <c r="K183" s="968"/>
    </row>
    <row r="184" spans="1:11" s="969" customFormat="1" ht="15" customHeight="1">
      <c r="A184" s="942" t="s">
        <v>2074</v>
      </c>
      <c r="B184" s="967"/>
      <c r="C184" s="967">
        <f ca="1">'3.0수량표'!$H$13</f>
        <v>6.0000000000000001E-3</v>
      </c>
      <c r="D184" s="967" t="s">
        <v>2071</v>
      </c>
      <c r="E184" s="937">
        <f>G184+I184+K184</f>
        <v>413</v>
      </c>
      <c r="F184" s="937"/>
      <c r="G184" s="937"/>
      <c r="H184" s="937">
        <f ca="1">'11.0시중노임'!$F$6</f>
        <v>68965</v>
      </c>
      <c r="I184" s="937">
        <f>INT(C184*H184)</f>
        <v>413</v>
      </c>
      <c r="J184" s="967"/>
      <c r="K184" s="968"/>
    </row>
    <row r="185" spans="1:11" s="969" customFormat="1" ht="15" customHeight="1">
      <c r="A185" s="971" t="s">
        <v>2099</v>
      </c>
      <c r="B185" s="972"/>
      <c r="C185" s="972"/>
      <c r="D185" s="972"/>
      <c r="E185" s="973">
        <f>G185+I185+K185</f>
        <v>1376</v>
      </c>
      <c r="F185" s="972"/>
      <c r="G185" s="974">
        <f>SUM(G180:G184)</f>
        <v>457</v>
      </c>
      <c r="H185" s="972"/>
      <c r="I185" s="974">
        <f>SUM(I180:I184)</f>
        <v>919</v>
      </c>
      <c r="J185" s="972"/>
      <c r="K185" s="968"/>
    </row>
    <row r="186" spans="1:11" s="965" customFormat="1" ht="15" customHeight="1">
      <c r="A186" s="966" t="s">
        <v>2131</v>
      </c>
      <c r="B186" s="967"/>
      <c r="C186" s="967"/>
      <c r="D186" s="967"/>
      <c r="E186" s="967"/>
      <c r="F186" s="967"/>
      <c r="G186" s="967"/>
      <c r="H186" s="967"/>
      <c r="I186" s="967"/>
      <c r="J186" s="967"/>
      <c r="K186" s="968"/>
    </row>
    <row r="187" spans="1:11" s="969" customFormat="1" ht="15" customHeight="1">
      <c r="A187" s="942" t="s">
        <v>2132</v>
      </c>
      <c r="B187" s="977" t="s">
        <v>2133</v>
      </c>
      <c r="C187" s="978">
        <f ca="1">'3.0수량표'!$H$22</f>
        <v>1.3</v>
      </c>
      <c r="D187" s="970" t="s">
        <v>2134</v>
      </c>
      <c r="E187" s="937">
        <f t="shared" ref="E187:E193" si="15">G187+I187+K187</f>
        <v>2873</v>
      </c>
      <c r="F187" s="979">
        <f ca="1">'8.0자재단가'!I19</f>
        <v>2210</v>
      </c>
      <c r="G187" s="937">
        <f>INT(C187*F187)</f>
        <v>2873</v>
      </c>
      <c r="H187" s="967"/>
      <c r="I187" s="967"/>
      <c r="J187" s="967"/>
      <c r="K187" s="968"/>
    </row>
    <row r="188" spans="1:11" s="969" customFormat="1" ht="15" customHeight="1">
      <c r="A188" s="942" t="s">
        <v>2135</v>
      </c>
      <c r="B188" s="967" t="s">
        <v>2136</v>
      </c>
      <c r="C188" s="978">
        <f ca="1">'3.0수량표'!$H$23</f>
        <v>1.3</v>
      </c>
      <c r="D188" s="970" t="s">
        <v>2137</v>
      </c>
      <c r="E188" s="937">
        <f t="shared" si="15"/>
        <v>195</v>
      </c>
      <c r="F188" s="979">
        <f ca="1">'8.0자재단가'!I20</f>
        <v>150</v>
      </c>
      <c r="G188" s="937">
        <f>INT(C188*F188)</f>
        <v>195</v>
      </c>
      <c r="H188" s="967"/>
      <c r="I188" s="967"/>
      <c r="J188" s="967"/>
      <c r="K188" s="968"/>
    </row>
    <row r="189" spans="1:11" s="969" customFormat="1" ht="15" customHeight="1">
      <c r="A189" s="942" t="s">
        <v>2070</v>
      </c>
      <c r="B189" s="967"/>
      <c r="C189" s="980">
        <f ca="1">'3.0수량표'!$H$24</f>
        <v>5.0000000000000001E-3</v>
      </c>
      <c r="D189" s="967" t="s">
        <v>2071</v>
      </c>
      <c r="E189" s="937">
        <f t="shared" si="15"/>
        <v>461</v>
      </c>
      <c r="F189" s="937"/>
      <c r="G189" s="937"/>
      <c r="H189" s="937">
        <f ca="1">'11.0시중노임'!$F$4</f>
        <v>92218</v>
      </c>
      <c r="I189" s="937">
        <f>INT(C189*H189)</f>
        <v>461</v>
      </c>
      <c r="J189" s="937"/>
      <c r="K189" s="938"/>
    </row>
    <row r="190" spans="1:11" s="969" customFormat="1" ht="15" customHeight="1">
      <c r="A190" s="942" t="s">
        <v>2072</v>
      </c>
      <c r="B190" s="967"/>
      <c r="C190" s="980">
        <f ca="1">'3.0수량표'!$H$25</f>
        <v>0.02</v>
      </c>
      <c r="D190" s="967" t="s">
        <v>2071</v>
      </c>
      <c r="E190" s="937">
        <f t="shared" si="15"/>
        <v>1688</v>
      </c>
      <c r="F190" s="937"/>
      <c r="G190" s="937"/>
      <c r="H190" s="937">
        <f ca="1">'11.0시중노임'!$F$5</f>
        <v>84404</v>
      </c>
      <c r="I190" s="937">
        <f>INT(C190*H190)</f>
        <v>1688</v>
      </c>
      <c r="J190" s="967"/>
      <c r="K190" s="968"/>
    </row>
    <row r="191" spans="1:11" s="969" customFormat="1" ht="15" customHeight="1">
      <c r="A191" s="942" t="s">
        <v>2074</v>
      </c>
      <c r="B191" s="967"/>
      <c r="C191" s="980">
        <f ca="1">'3.0수량표'!$H$26</f>
        <v>0.02</v>
      </c>
      <c r="D191" s="967" t="s">
        <v>2071</v>
      </c>
      <c r="E191" s="937">
        <f t="shared" si="15"/>
        <v>1379</v>
      </c>
      <c r="F191" s="937"/>
      <c r="G191" s="937"/>
      <c r="H191" s="937">
        <f ca="1">'11.0시중노임'!$F$6</f>
        <v>68965</v>
      </c>
      <c r="I191" s="937">
        <f>INT(C191*H191)</f>
        <v>1379</v>
      </c>
      <c r="J191" s="967"/>
      <c r="K191" s="968"/>
    </row>
    <row r="192" spans="1:11" s="969" customFormat="1" ht="15" customHeight="1">
      <c r="A192" s="942" t="s">
        <v>2096</v>
      </c>
      <c r="B192" s="967" t="s">
        <v>2097</v>
      </c>
      <c r="C192" s="1088">
        <v>3</v>
      </c>
      <c r="D192" s="967" t="s">
        <v>2098</v>
      </c>
      <c r="E192" s="937">
        <f t="shared" si="15"/>
        <v>112.41</v>
      </c>
      <c r="F192" s="937">
        <f>SUM(G187:G188)+G181+G182+G175</f>
        <v>3747</v>
      </c>
      <c r="G192" s="937">
        <f>F192*C192/100</f>
        <v>112.41</v>
      </c>
      <c r="H192" s="937"/>
      <c r="I192" s="937"/>
      <c r="J192" s="967"/>
      <c r="K192" s="968"/>
    </row>
    <row r="193" spans="1:15" s="969" customFormat="1" ht="15" customHeight="1">
      <c r="A193" s="942" t="s">
        <v>2113</v>
      </c>
      <c r="B193" s="967" t="s">
        <v>2114</v>
      </c>
      <c r="C193" s="1088">
        <v>3</v>
      </c>
      <c r="D193" s="967" t="s">
        <v>2098</v>
      </c>
      <c r="E193" s="937">
        <f t="shared" si="15"/>
        <v>195.33</v>
      </c>
      <c r="F193" s="937"/>
      <c r="G193" s="937"/>
      <c r="H193" s="937">
        <f>SUM(I189:I191)+I185+I179</f>
        <v>6511</v>
      </c>
      <c r="I193" s="937">
        <f>H193*C193/100</f>
        <v>195.33</v>
      </c>
      <c r="J193" s="967"/>
      <c r="K193" s="968"/>
    </row>
    <row r="194" spans="1:15" s="976" customFormat="1" ht="15" customHeight="1">
      <c r="A194" s="971" t="s">
        <v>2099</v>
      </c>
      <c r="B194" s="972"/>
      <c r="C194" s="972"/>
      <c r="D194" s="972"/>
      <c r="E194" s="974">
        <f>SUM(E187:E193)</f>
        <v>6903.74</v>
      </c>
      <c r="F194" s="972"/>
      <c r="G194" s="974">
        <f>SUM(G187:G193)</f>
        <v>3180.41</v>
      </c>
      <c r="H194" s="972"/>
      <c r="I194" s="974">
        <f>SUM(I187:I193)</f>
        <v>3723.33</v>
      </c>
      <c r="J194" s="972"/>
      <c r="K194" s="981"/>
    </row>
    <row r="195" spans="1:15" s="976" customFormat="1" ht="15" customHeight="1">
      <c r="A195" s="971" t="s">
        <v>2075</v>
      </c>
      <c r="B195" s="972"/>
      <c r="C195" s="972"/>
      <c r="D195" s="972"/>
      <c r="E195" s="974">
        <f>SUM(E188:E194)</f>
        <v>10934.48</v>
      </c>
      <c r="F195" s="972"/>
      <c r="G195" s="974">
        <f>G194+G185+G179</f>
        <v>3859.41</v>
      </c>
      <c r="H195" s="972"/>
      <c r="I195" s="974">
        <f>I194+I185+I179</f>
        <v>6706.33</v>
      </c>
      <c r="J195" s="972"/>
      <c r="K195" s="981">
        <f>K194+K185+K179</f>
        <v>122</v>
      </c>
    </row>
    <row r="196" spans="1:15" s="965" customFormat="1" ht="15" customHeight="1">
      <c r="A196" s="966" t="s">
        <v>2100</v>
      </c>
      <c r="B196" s="967"/>
      <c r="C196" s="967"/>
      <c r="D196" s="967"/>
      <c r="E196" s="1089"/>
      <c r="F196" s="967"/>
      <c r="G196" s="967"/>
      <c r="H196" s="967"/>
      <c r="I196" s="967"/>
      <c r="J196" s="967"/>
      <c r="K196" s="968"/>
    </row>
    <row r="197" spans="1:15" s="931" customFormat="1" ht="15" customHeight="1">
      <c r="A197" s="576" t="s">
        <v>2101</v>
      </c>
      <c r="B197" s="573" t="s">
        <v>2102</v>
      </c>
      <c r="C197" s="944">
        <v>0.04</v>
      </c>
      <c r="D197" s="573" t="s">
        <v>2103</v>
      </c>
      <c r="E197" s="937">
        <f t="shared" ref="E197:E212" si="16">G197+I197+K197</f>
        <v>4800</v>
      </c>
      <c r="F197" s="937">
        <f ca="1">'8.0자재단가'!I48</f>
        <v>120000</v>
      </c>
      <c r="G197" s="937">
        <f>INT(C197*F197)</f>
        <v>4800</v>
      </c>
      <c r="H197" s="937"/>
      <c r="I197" s="937"/>
      <c r="J197" s="937"/>
      <c r="K197" s="938"/>
      <c r="L197" s="965"/>
      <c r="M197" s="965"/>
      <c r="N197" s="965"/>
    </row>
    <row r="198" spans="1:15" s="928" customFormat="1" ht="15" customHeight="1">
      <c r="A198" s="576" t="s">
        <v>2104</v>
      </c>
      <c r="B198" s="573" t="s">
        <v>2105</v>
      </c>
      <c r="C198" s="944">
        <v>0.4</v>
      </c>
      <c r="D198" s="573" t="s">
        <v>2103</v>
      </c>
      <c r="E198" s="1091">
        <f t="shared" si="16"/>
        <v>0</v>
      </c>
      <c r="F198" s="937">
        <f ca="1">'8.0자재단가'!I49</f>
        <v>12000</v>
      </c>
      <c r="G198" s="1091">
        <v>0</v>
      </c>
      <c r="H198" s="937"/>
      <c r="I198" s="937"/>
      <c r="J198" s="937"/>
      <c r="K198" s="938"/>
      <c r="L198" s="964"/>
      <c r="M198" s="964"/>
      <c r="N198" s="964"/>
    </row>
    <row r="199" spans="1:15" s="928" customFormat="1" ht="15" customHeight="1">
      <c r="A199" s="1085" t="s">
        <v>2106</v>
      </c>
      <c r="B199" s="1086" t="s">
        <v>2107</v>
      </c>
      <c r="C199" s="944"/>
      <c r="D199" s="573" t="s">
        <v>2108</v>
      </c>
      <c r="E199" s="1091">
        <f t="shared" si="16"/>
        <v>0</v>
      </c>
      <c r="F199" s="937">
        <f ca="1">'8.0자재단가'!I50</f>
        <v>1500</v>
      </c>
      <c r="G199" s="1091">
        <v>0</v>
      </c>
      <c r="H199" s="937"/>
      <c r="I199" s="937"/>
      <c r="J199" s="937"/>
      <c r="K199" s="938"/>
      <c r="L199" s="964"/>
      <c r="M199" s="964"/>
      <c r="N199" s="964"/>
    </row>
    <row r="200" spans="1:15" s="928" customFormat="1" ht="15" customHeight="1">
      <c r="A200" s="1085" t="s">
        <v>2060</v>
      </c>
      <c r="B200" s="1086" t="s">
        <v>2138</v>
      </c>
      <c r="C200" s="992">
        <v>31.5</v>
      </c>
      <c r="D200" s="573" t="s">
        <v>2062</v>
      </c>
      <c r="E200" s="937">
        <f t="shared" si="16"/>
        <v>23310</v>
      </c>
      <c r="F200" s="937">
        <f ca="1">'8.0자재단가'!$I$52</f>
        <v>740</v>
      </c>
      <c r="G200" s="937">
        <f t="shared" ref="G200:G205" si="17">INT(C200*F200)</f>
        <v>23310</v>
      </c>
      <c r="H200" s="937"/>
      <c r="I200" s="937"/>
      <c r="J200" s="937"/>
      <c r="K200" s="938"/>
      <c r="L200" s="964"/>
      <c r="M200" s="983"/>
      <c r="N200" s="983"/>
    </row>
    <row r="201" spans="1:15" s="928" customFormat="1" ht="15" customHeight="1">
      <c r="A201" s="1085" t="s">
        <v>2063</v>
      </c>
      <c r="B201" s="1086" t="s">
        <v>2064</v>
      </c>
      <c r="C201" s="1092">
        <v>0.47</v>
      </c>
      <c r="D201" s="573" t="s">
        <v>2062</v>
      </c>
      <c r="E201" s="937">
        <f t="shared" si="16"/>
        <v>7520</v>
      </c>
      <c r="F201" s="937">
        <f ca="1">'8.0자재단가'!$I$57</f>
        <v>16000</v>
      </c>
      <c r="G201" s="937">
        <f t="shared" si="17"/>
        <v>7520</v>
      </c>
      <c r="H201" s="937"/>
      <c r="I201" s="937"/>
      <c r="J201" s="937"/>
      <c r="K201" s="938"/>
      <c r="L201" s="964"/>
      <c r="M201" s="964"/>
      <c r="N201" s="964"/>
    </row>
    <row r="202" spans="1:15" s="928" customFormat="1" ht="15" customHeight="1">
      <c r="A202" s="576" t="s">
        <v>2065</v>
      </c>
      <c r="B202" s="573" t="s">
        <v>2066</v>
      </c>
      <c r="C202" s="944">
        <v>2.4E-2</v>
      </c>
      <c r="D202" s="573" t="s">
        <v>2067</v>
      </c>
      <c r="E202" s="937">
        <f t="shared" si="16"/>
        <v>925</v>
      </c>
      <c r="F202" s="937">
        <f ca="1">'9.0중기목록'!$F$14</f>
        <v>13117</v>
      </c>
      <c r="G202" s="937">
        <f t="shared" si="17"/>
        <v>314</v>
      </c>
      <c r="H202" s="937">
        <f ca="1">'9.0중기목록'!$E$14</f>
        <v>17696</v>
      </c>
      <c r="I202" s="937">
        <f t="shared" ref="I202:I209" si="18">INT(C202*H202)</f>
        <v>424</v>
      </c>
      <c r="J202" s="937">
        <f ca="1">'9.0중기목록'!$G$14</f>
        <v>7823</v>
      </c>
      <c r="K202" s="938">
        <f>INT(C202*J202)</f>
        <v>187</v>
      </c>
      <c r="L202" s="964"/>
      <c r="M202" s="964"/>
      <c r="N202" s="964"/>
    </row>
    <row r="203" spans="1:15" s="928" customFormat="1" ht="15" customHeight="1">
      <c r="A203" s="942" t="s">
        <v>2109</v>
      </c>
      <c r="B203" s="573" t="s">
        <v>2110</v>
      </c>
      <c r="C203" s="944">
        <v>2.4E-2</v>
      </c>
      <c r="D203" s="573" t="s">
        <v>2067</v>
      </c>
      <c r="E203" s="937">
        <f t="shared" si="16"/>
        <v>1116</v>
      </c>
      <c r="F203" s="937">
        <f ca="1">'9.0중기목록'!$F$38</f>
        <v>19373</v>
      </c>
      <c r="G203" s="937">
        <f t="shared" si="17"/>
        <v>464</v>
      </c>
      <c r="H203" s="937">
        <f ca="1">'9.0중기목록'!$E$38</f>
        <v>17696</v>
      </c>
      <c r="I203" s="937">
        <f t="shared" si="18"/>
        <v>424</v>
      </c>
      <c r="J203" s="937">
        <f ca="1">'9.0중기목록'!$G$38</f>
        <v>9529</v>
      </c>
      <c r="K203" s="938">
        <f>INT(C203*J203)</f>
        <v>228</v>
      </c>
      <c r="L203" s="964"/>
      <c r="M203" s="984"/>
      <c r="N203" s="964"/>
    </row>
    <row r="204" spans="1:15" s="928" customFormat="1" ht="15" customHeight="1">
      <c r="A204" s="943" t="s">
        <v>2111</v>
      </c>
      <c r="B204" s="573" t="s">
        <v>2112</v>
      </c>
      <c r="C204" s="944">
        <v>2.4E-2</v>
      </c>
      <c r="D204" s="573" t="s">
        <v>2067</v>
      </c>
      <c r="E204" s="937">
        <f t="shared" si="16"/>
        <v>831</v>
      </c>
      <c r="F204" s="937">
        <f ca="1">'9.0중기목록'!$F$12</f>
        <v>6640</v>
      </c>
      <c r="G204" s="937">
        <f t="shared" si="17"/>
        <v>159</v>
      </c>
      <c r="H204" s="937">
        <f ca="1">'9.0중기목록'!$E$12</f>
        <v>17696</v>
      </c>
      <c r="I204" s="937">
        <f t="shared" si="18"/>
        <v>424</v>
      </c>
      <c r="J204" s="937">
        <f ca="1">'9.0중기목록'!$G$12</f>
        <v>10362</v>
      </c>
      <c r="K204" s="938">
        <f>INT(C204*J204)</f>
        <v>248</v>
      </c>
      <c r="L204" s="965"/>
      <c r="M204" s="965"/>
      <c r="N204" s="965"/>
      <c r="O204" s="931"/>
    </row>
    <row r="205" spans="1:15" s="928" customFormat="1" ht="15" customHeight="1">
      <c r="A205" s="942" t="s">
        <v>2068</v>
      </c>
      <c r="B205" s="573" t="s">
        <v>2069</v>
      </c>
      <c r="C205" s="944">
        <v>2.4E-2</v>
      </c>
      <c r="D205" s="573" t="s">
        <v>2067</v>
      </c>
      <c r="E205" s="937">
        <f t="shared" si="16"/>
        <v>742</v>
      </c>
      <c r="F205" s="937">
        <v>6322</v>
      </c>
      <c r="G205" s="937">
        <f t="shared" si="17"/>
        <v>151</v>
      </c>
      <c r="H205" s="937">
        <v>12969</v>
      </c>
      <c r="I205" s="937">
        <f t="shared" si="18"/>
        <v>311</v>
      </c>
      <c r="J205" s="937">
        <v>11692</v>
      </c>
      <c r="K205" s="938">
        <f>INT(C205*J205)</f>
        <v>280</v>
      </c>
      <c r="L205" s="964"/>
      <c r="M205" s="964"/>
      <c r="N205" s="964"/>
    </row>
    <row r="206" spans="1:15" s="928" customFormat="1" ht="15" customHeight="1">
      <c r="A206" s="576" t="s">
        <v>2070</v>
      </c>
      <c r="B206" s="573"/>
      <c r="C206" s="944">
        <v>0.01</v>
      </c>
      <c r="D206" s="573" t="s">
        <v>2071</v>
      </c>
      <c r="E206" s="937">
        <f t="shared" si="16"/>
        <v>922</v>
      </c>
      <c r="F206" s="937"/>
      <c r="G206" s="937"/>
      <c r="H206" s="937">
        <f ca="1">'11.0시중노임'!$F$4</f>
        <v>92218</v>
      </c>
      <c r="I206" s="937">
        <f t="shared" si="18"/>
        <v>922</v>
      </c>
      <c r="J206" s="937"/>
      <c r="K206" s="938"/>
      <c r="L206" s="964"/>
      <c r="M206" s="964"/>
      <c r="N206" s="964"/>
    </row>
    <row r="207" spans="1:15" s="928" customFormat="1" ht="15" customHeight="1">
      <c r="A207" s="576" t="s">
        <v>2072</v>
      </c>
      <c r="B207" s="573"/>
      <c r="C207" s="944">
        <v>0.02</v>
      </c>
      <c r="D207" s="573" t="s">
        <v>2071</v>
      </c>
      <c r="E207" s="937">
        <f t="shared" si="16"/>
        <v>1688</v>
      </c>
      <c r="F207" s="937"/>
      <c r="G207" s="937"/>
      <c r="H207" s="937">
        <f ca="1">'11.0시중노임'!$F$5</f>
        <v>84404</v>
      </c>
      <c r="I207" s="937">
        <f t="shared" si="18"/>
        <v>1688</v>
      </c>
      <c r="J207" s="937"/>
      <c r="K207" s="938"/>
      <c r="L207" s="964"/>
      <c r="M207" s="964"/>
      <c r="N207" s="964"/>
    </row>
    <row r="208" spans="1:15" s="928" customFormat="1" ht="15" customHeight="1">
      <c r="A208" s="576" t="s">
        <v>2073</v>
      </c>
      <c r="B208" s="573"/>
      <c r="C208" s="944">
        <v>0.01</v>
      </c>
      <c r="D208" s="573" t="s">
        <v>2071</v>
      </c>
      <c r="E208" s="937">
        <f t="shared" si="16"/>
        <v>865</v>
      </c>
      <c r="F208" s="937"/>
      <c r="G208" s="937"/>
      <c r="H208" s="937">
        <f ca="1">'11.0시중노임'!$F$12</f>
        <v>86521</v>
      </c>
      <c r="I208" s="937">
        <f t="shared" si="18"/>
        <v>865</v>
      </c>
      <c r="J208" s="937"/>
      <c r="K208" s="938"/>
      <c r="L208" s="964"/>
      <c r="M208" s="964"/>
      <c r="N208" s="964"/>
    </row>
    <row r="209" spans="1:14" s="928" customFormat="1" ht="15" customHeight="1">
      <c r="A209" s="576" t="s">
        <v>2074</v>
      </c>
      <c r="B209" s="573"/>
      <c r="C209" s="944">
        <v>0.04</v>
      </c>
      <c r="D209" s="573" t="s">
        <v>2071</v>
      </c>
      <c r="E209" s="937">
        <f t="shared" si="16"/>
        <v>2758</v>
      </c>
      <c r="F209" s="937"/>
      <c r="G209" s="937"/>
      <c r="H209" s="937">
        <f ca="1">'11.0시중노임'!$F$6</f>
        <v>68965</v>
      </c>
      <c r="I209" s="937">
        <f t="shared" si="18"/>
        <v>2758</v>
      </c>
      <c r="J209" s="937"/>
      <c r="K209" s="938"/>
      <c r="L209" s="964"/>
      <c r="M209" s="984"/>
      <c r="N209" s="964"/>
    </row>
    <row r="210" spans="1:14" s="969" customFormat="1" ht="15" customHeight="1">
      <c r="A210" s="942" t="s">
        <v>2096</v>
      </c>
      <c r="B210" s="967" t="s">
        <v>2097</v>
      </c>
      <c r="C210" s="1088">
        <v>3</v>
      </c>
      <c r="D210" s="967" t="s">
        <v>2098</v>
      </c>
      <c r="E210" s="937">
        <f t="shared" si="16"/>
        <v>1101.54</v>
      </c>
      <c r="F210" s="937">
        <f>SUM(G197:G205)</f>
        <v>36718</v>
      </c>
      <c r="G210" s="937">
        <f>F210*C210/100</f>
        <v>1101.54</v>
      </c>
      <c r="H210" s="937"/>
      <c r="I210" s="937"/>
      <c r="J210" s="967"/>
      <c r="K210" s="968"/>
    </row>
    <row r="211" spans="1:14" s="969" customFormat="1" ht="15" customHeight="1">
      <c r="A211" s="942" t="s">
        <v>2113</v>
      </c>
      <c r="B211" s="967" t="s">
        <v>2114</v>
      </c>
      <c r="C211" s="1088">
        <v>3</v>
      </c>
      <c r="D211" s="967" t="s">
        <v>2098</v>
      </c>
      <c r="E211" s="937">
        <f t="shared" si="16"/>
        <v>234.48</v>
      </c>
      <c r="F211" s="937"/>
      <c r="G211" s="937"/>
      <c r="H211" s="937">
        <f>SUM(I202:I209)</f>
        <v>7816</v>
      </c>
      <c r="I211" s="937">
        <f>H211*C211/100</f>
        <v>234.48</v>
      </c>
      <c r="J211" s="967"/>
      <c r="K211" s="968"/>
    </row>
    <row r="212" spans="1:14" s="956" customFormat="1" ht="15" customHeight="1">
      <c r="A212" s="971" t="s">
        <v>2075</v>
      </c>
      <c r="B212" s="986"/>
      <c r="C212" s="987"/>
      <c r="D212" s="986"/>
      <c r="E212" s="973">
        <f t="shared" si="16"/>
        <v>46813.020000000004</v>
      </c>
      <c r="F212" s="973"/>
      <c r="G212" s="973">
        <f>SUM(G197:G211)</f>
        <v>37819.54</v>
      </c>
      <c r="H212" s="973"/>
      <c r="I212" s="973">
        <f>SUM(I197:I211)</f>
        <v>8050.48</v>
      </c>
      <c r="J212" s="973"/>
      <c r="K212" s="988">
        <f>SUM(K197:K211)</f>
        <v>943</v>
      </c>
      <c r="L212" s="989"/>
      <c r="M212" s="989"/>
      <c r="N212" s="989"/>
    </row>
    <row r="213" spans="1:14" s="956" customFormat="1" ht="15" customHeight="1">
      <c r="A213" s="1093"/>
      <c r="B213" s="1094"/>
      <c r="C213" s="986"/>
      <c r="D213" s="987"/>
      <c r="E213" s="973"/>
      <c r="F213" s="973"/>
      <c r="G213" s="973"/>
      <c r="H213" s="973"/>
      <c r="I213" s="973"/>
      <c r="J213" s="973"/>
      <c r="K213" s="1095"/>
      <c r="L213" s="989"/>
      <c r="M213" s="989"/>
      <c r="N213" s="989"/>
    </row>
    <row r="214" spans="1:14" s="928" customFormat="1" ht="15" customHeight="1">
      <c r="A214" s="947"/>
      <c r="B214" s="1096"/>
      <c r="C214" s="945"/>
      <c r="D214" s="945"/>
      <c r="E214" s="937"/>
      <c r="F214" s="945"/>
      <c r="G214" s="945"/>
      <c r="H214" s="945"/>
      <c r="I214" s="945"/>
      <c r="J214" s="945"/>
      <c r="K214" s="950"/>
      <c r="L214" s="964"/>
      <c r="M214" s="964"/>
      <c r="N214" s="964"/>
    </row>
    <row r="215" spans="1:14" s="956" customFormat="1" ht="15" customHeight="1">
      <c r="A215" s="951" t="s">
        <v>2076</v>
      </c>
      <c r="B215" s="952"/>
      <c r="C215" s="952"/>
      <c r="D215" s="953"/>
      <c r="E215" s="954">
        <f>E212+E194+E185+E179</f>
        <v>57500.76</v>
      </c>
      <c r="F215" s="954"/>
      <c r="G215" s="954">
        <f>G212+G195</f>
        <v>41678.949999999997</v>
      </c>
      <c r="H215" s="954"/>
      <c r="I215" s="954">
        <f>I212+I195</f>
        <v>14756.81</v>
      </c>
      <c r="J215" s="954"/>
      <c r="K215" s="955">
        <f>K212+K195</f>
        <v>1065</v>
      </c>
      <c r="L215" s="989"/>
      <c r="M215" s="989"/>
      <c r="N215" s="989"/>
    </row>
    <row r="216" spans="1:14" ht="26.1" customHeight="1">
      <c r="A216" s="1748" t="s">
        <v>2139</v>
      </c>
      <c r="B216" s="1748"/>
      <c r="C216" s="1748"/>
      <c r="D216" s="1748"/>
      <c r="E216" s="1748"/>
      <c r="F216" s="1748"/>
      <c r="G216" s="1748"/>
      <c r="H216" s="1748"/>
      <c r="I216" s="1748"/>
      <c r="J216" s="1748"/>
      <c r="K216" s="1748"/>
    </row>
    <row r="217" spans="1:14" s="928" customFormat="1" ht="13.5" customHeight="1">
      <c r="A217" s="925"/>
      <c r="B217" s="925"/>
      <c r="C217" s="925"/>
      <c r="D217" s="926"/>
      <c r="E217" s="926"/>
      <c r="F217" s="925"/>
      <c r="G217" s="925"/>
      <c r="H217" s="925"/>
      <c r="I217" s="925"/>
      <c r="J217" s="925"/>
      <c r="K217" s="927" t="s">
        <v>2078</v>
      </c>
      <c r="L217" s="964"/>
      <c r="M217" s="964"/>
      <c r="N217" s="964"/>
    </row>
    <row r="218" spans="1:14" s="928" customFormat="1" ht="20.100000000000001" customHeight="1">
      <c r="A218" s="1689" t="s">
        <v>2079</v>
      </c>
      <c r="B218" s="1670" t="s">
        <v>2080</v>
      </c>
      <c r="C218" s="1670" t="s">
        <v>2081</v>
      </c>
      <c r="D218" s="1670" t="s">
        <v>2082</v>
      </c>
      <c r="E218" s="1672" t="s">
        <v>2083</v>
      </c>
      <c r="F218" s="1670" t="s">
        <v>2084</v>
      </c>
      <c r="G218" s="1670"/>
      <c r="H218" s="1670" t="s">
        <v>2085</v>
      </c>
      <c r="I218" s="1670"/>
      <c r="J218" s="1670" t="s">
        <v>2086</v>
      </c>
      <c r="K218" s="1674"/>
      <c r="L218" s="964"/>
      <c r="M218" s="964"/>
      <c r="N218" s="964"/>
    </row>
    <row r="219" spans="1:14" s="931" customFormat="1" ht="20.100000000000001" customHeight="1">
      <c r="A219" s="1690"/>
      <c r="B219" s="1671"/>
      <c r="C219" s="1671"/>
      <c r="D219" s="1671"/>
      <c r="E219" s="1673"/>
      <c r="F219" s="929" t="s">
        <v>2087</v>
      </c>
      <c r="G219" s="929" t="s">
        <v>2088</v>
      </c>
      <c r="H219" s="929" t="s">
        <v>2087</v>
      </c>
      <c r="I219" s="929" t="s">
        <v>2088</v>
      </c>
      <c r="J219" s="929" t="s">
        <v>2087</v>
      </c>
      <c r="K219" s="930" t="s">
        <v>2088</v>
      </c>
      <c r="L219" s="965"/>
      <c r="M219" s="965"/>
      <c r="N219" s="965"/>
    </row>
    <row r="220" spans="1:14" s="969" customFormat="1" ht="15" customHeight="1">
      <c r="A220" s="966" t="s">
        <v>2120</v>
      </c>
      <c r="B220" s="967"/>
      <c r="C220" s="967"/>
      <c r="D220" s="967"/>
      <c r="E220" s="967"/>
      <c r="F220" s="967"/>
      <c r="G220" s="967"/>
      <c r="H220" s="967"/>
      <c r="I220" s="967"/>
      <c r="J220" s="967"/>
      <c r="K220" s="968"/>
    </row>
    <row r="221" spans="1:14" s="969" customFormat="1" ht="15" customHeight="1">
      <c r="A221" s="942" t="s">
        <v>2121</v>
      </c>
      <c r="B221" s="970" t="s">
        <v>2122</v>
      </c>
      <c r="C221" s="945">
        <f ca="1">'3.0수량표'!$H$5</f>
        <v>1.9E-2</v>
      </c>
      <c r="D221" s="573" t="s">
        <v>2067</v>
      </c>
      <c r="E221" s="937">
        <f>G221+I221+K221</f>
        <v>576</v>
      </c>
      <c r="F221" s="937">
        <f ca="1">'9.0중기목록'!$F$34</f>
        <v>11704</v>
      </c>
      <c r="G221" s="937">
        <f ca="1">INT(C221*F221)</f>
        <v>222</v>
      </c>
      <c r="H221" s="937">
        <f ca="1">'9.0중기목록'!$E$34</f>
        <v>14915</v>
      </c>
      <c r="I221" s="937">
        <f ca="1">INT(C221*H221)</f>
        <v>283</v>
      </c>
      <c r="J221" s="937">
        <f ca="1">'9.0중기목록'!$G$34</f>
        <v>3752</v>
      </c>
      <c r="K221" s="938">
        <f>INT(C221*J221)</f>
        <v>71</v>
      </c>
    </row>
    <row r="222" spans="1:14" s="969" customFormat="1" ht="15" customHeight="1">
      <c r="A222" s="942" t="s">
        <v>2123</v>
      </c>
      <c r="B222" s="970"/>
      <c r="C222" s="945">
        <f ca="1">'3.0수량표'!$H$6</f>
        <v>1.2E-2</v>
      </c>
      <c r="D222" s="967" t="s">
        <v>2071</v>
      </c>
      <c r="E222" s="937">
        <f>G222+I222+K222</f>
        <v>954</v>
      </c>
      <c r="F222" s="937"/>
      <c r="G222" s="937"/>
      <c r="H222" s="937">
        <f ca="1">'11.0시중노임'!$F$3</f>
        <v>79533</v>
      </c>
      <c r="I222" s="937">
        <f>INT(C222*H222)</f>
        <v>954</v>
      </c>
      <c r="J222" s="967"/>
      <c r="K222" s="968"/>
    </row>
    <row r="223" spans="1:14" s="969" customFormat="1" ht="15" customHeight="1">
      <c r="A223" s="942" t="s">
        <v>2124</v>
      </c>
      <c r="B223" s="970"/>
      <c r="C223" s="945">
        <f ca="1">'3.0수량표'!$H$7</f>
        <v>1.2E-2</v>
      </c>
      <c r="D223" s="967" t="s">
        <v>2071</v>
      </c>
      <c r="E223" s="937">
        <f>G223+I223+K223</f>
        <v>827</v>
      </c>
      <c r="F223" s="937"/>
      <c r="G223" s="937"/>
      <c r="H223" s="937">
        <f ca="1">'11.0시중노임'!$F$6</f>
        <v>68965</v>
      </c>
      <c r="I223" s="937">
        <f>INT(C223*H223)</f>
        <v>827</v>
      </c>
      <c r="J223" s="967"/>
      <c r="K223" s="968"/>
    </row>
    <row r="224" spans="1:14" s="969" customFormat="1" ht="15" customHeight="1">
      <c r="A224" s="943" t="s">
        <v>2125</v>
      </c>
      <c r="B224" s="573" t="s">
        <v>2126</v>
      </c>
      <c r="C224" s="945">
        <f ca="1">'3.0수량표'!$H$8</f>
        <v>2.5</v>
      </c>
      <c r="D224" s="573" t="s">
        <v>2098</v>
      </c>
      <c r="E224" s="937">
        <f>G224+I224+K224</f>
        <v>51</v>
      </c>
      <c r="F224" s="937"/>
      <c r="G224" s="937"/>
      <c r="H224" s="937"/>
      <c r="I224" s="937"/>
      <c r="J224" s="937">
        <f>SUM(I221:I223)</f>
        <v>2064</v>
      </c>
      <c r="K224" s="938">
        <f>INT(C224*J224/100)</f>
        <v>51</v>
      </c>
    </row>
    <row r="225" spans="1:11" s="976" customFormat="1" ht="15" customHeight="1">
      <c r="A225" s="971" t="s">
        <v>2099</v>
      </c>
      <c r="B225" s="972"/>
      <c r="C225" s="972"/>
      <c r="D225" s="972"/>
      <c r="E225" s="973">
        <f>G225+I225+K225</f>
        <v>2408</v>
      </c>
      <c r="F225" s="972"/>
      <c r="G225" s="974">
        <f>SUM(G221:G224)</f>
        <v>222</v>
      </c>
      <c r="H225" s="972"/>
      <c r="I225" s="974">
        <f>SUM(I221:I224)</f>
        <v>2064</v>
      </c>
      <c r="J225" s="972"/>
      <c r="K225" s="975">
        <f>SUM(K221:K224)</f>
        <v>122</v>
      </c>
    </row>
    <row r="226" spans="1:11" s="969" customFormat="1" ht="15" customHeight="1">
      <c r="A226" s="966" t="s">
        <v>2127</v>
      </c>
      <c r="B226" s="967"/>
      <c r="C226" s="967"/>
      <c r="D226" s="967"/>
      <c r="E226" s="967"/>
      <c r="F226" s="967"/>
      <c r="G226" s="967"/>
      <c r="H226" s="967"/>
      <c r="I226" s="967"/>
      <c r="J226" s="967"/>
      <c r="K226" s="968"/>
    </row>
    <row r="227" spans="1:11" s="969" customFormat="1" ht="15" customHeight="1">
      <c r="A227" s="942" t="s">
        <v>2093</v>
      </c>
      <c r="B227" s="967" t="s">
        <v>2128</v>
      </c>
      <c r="C227" s="967">
        <f ca="1">'3.0수량표'!$H$10</f>
        <v>0.23</v>
      </c>
      <c r="D227" s="967" t="s">
        <v>2095</v>
      </c>
      <c r="E227" s="937">
        <f>G227+I227+K227</f>
        <v>207</v>
      </c>
      <c r="F227" s="937">
        <f>F181</f>
        <v>900</v>
      </c>
      <c r="G227" s="937">
        <f>INT(C227*F227)</f>
        <v>207</v>
      </c>
      <c r="H227" s="967"/>
      <c r="I227" s="967"/>
      <c r="J227" s="967"/>
      <c r="K227" s="968"/>
    </row>
    <row r="228" spans="1:11" s="969" customFormat="1" ht="15" customHeight="1">
      <c r="A228" s="942" t="s">
        <v>2129</v>
      </c>
      <c r="B228" s="967" t="s">
        <v>2130</v>
      </c>
      <c r="C228" s="978">
        <f ca="1">'3.0수량표'!$H$11</f>
        <v>0.5</v>
      </c>
      <c r="D228" s="967" t="s">
        <v>2095</v>
      </c>
      <c r="E228" s="937">
        <f>G228+I228+K228</f>
        <v>250</v>
      </c>
      <c r="F228" s="937">
        <f>F182</f>
        <v>500</v>
      </c>
      <c r="G228" s="937">
        <f>INT(C228*F228)</f>
        <v>250</v>
      </c>
      <c r="H228" s="967"/>
      <c r="I228" s="967"/>
      <c r="J228" s="967"/>
      <c r="K228" s="968"/>
    </row>
    <row r="229" spans="1:11" s="969" customFormat="1" ht="15" customHeight="1">
      <c r="A229" s="942" t="s">
        <v>2072</v>
      </c>
      <c r="B229" s="967"/>
      <c r="C229" s="967">
        <f ca="1">'3.0수량표'!$H$12</f>
        <v>6.0000000000000001E-3</v>
      </c>
      <c r="D229" s="967" t="s">
        <v>2071</v>
      </c>
      <c r="E229" s="937">
        <f>G229+I229+K229</f>
        <v>506</v>
      </c>
      <c r="F229" s="937"/>
      <c r="G229" s="937"/>
      <c r="H229" s="937">
        <f ca="1">'11.0시중노임'!$F$5</f>
        <v>84404</v>
      </c>
      <c r="I229" s="937">
        <f>INT(C229*H229)</f>
        <v>506</v>
      </c>
      <c r="J229" s="967"/>
      <c r="K229" s="968"/>
    </row>
    <row r="230" spans="1:11" s="969" customFormat="1" ht="15" customHeight="1">
      <c r="A230" s="942" t="s">
        <v>2074</v>
      </c>
      <c r="B230" s="967"/>
      <c r="C230" s="967">
        <f ca="1">'3.0수량표'!$H$13</f>
        <v>6.0000000000000001E-3</v>
      </c>
      <c r="D230" s="967" t="s">
        <v>2071</v>
      </c>
      <c r="E230" s="937">
        <f>G230+I230+K230</f>
        <v>413</v>
      </c>
      <c r="F230" s="937"/>
      <c r="G230" s="937"/>
      <c r="H230" s="937">
        <f ca="1">'11.0시중노임'!$F$6</f>
        <v>68965</v>
      </c>
      <c r="I230" s="937">
        <f>INT(C230*H230)</f>
        <v>413</v>
      </c>
      <c r="J230" s="967"/>
      <c r="K230" s="968"/>
    </row>
    <row r="231" spans="1:11" s="969" customFormat="1" ht="15" customHeight="1">
      <c r="A231" s="971" t="s">
        <v>2099</v>
      </c>
      <c r="B231" s="972"/>
      <c r="C231" s="972"/>
      <c r="D231" s="972"/>
      <c r="E231" s="973">
        <f>G231+I231+K231</f>
        <v>1376</v>
      </c>
      <c r="F231" s="972"/>
      <c r="G231" s="974">
        <f>SUM(G226:G230)</f>
        <v>457</v>
      </c>
      <c r="H231" s="972"/>
      <c r="I231" s="974">
        <f>SUM(I226:I230)</f>
        <v>919</v>
      </c>
      <c r="J231" s="972"/>
      <c r="K231" s="968"/>
    </row>
    <row r="232" spans="1:11" s="965" customFormat="1" ht="15" customHeight="1">
      <c r="A232" s="966" t="s">
        <v>2131</v>
      </c>
      <c r="B232" s="967"/>
      <c r="C232" s="967"/>
      <c r="D232" s="967"/>
      <c r="E232" s="967"/>
      <c r="F232" s="967"/>
      <c r="G232" s="967"/>
      <c r="H232" s="967"/>
      <c r="I232" s="967"/>
      <c r="J232" s="967"/>
      <c r="K232" s="968"/>
    </row>
    <row r="233" spans="1:11" s="969" customFormat="1" ht="15" customHeight="1">
      <c r="A233" s="942" t="s">
        <v>2132</v>
      </c>
      <c r="B233" s="977" t="s">
        <v>2133</v>
      </c>
      <c r="C233" s="978">
        <f ca="1">'3.0수량표'!$H$22</f>
        <v>1.3</v>
      </c>
      <c r="D233" s="970" t="s">
        <v>2134</v>
      </c>
      <c r="E233" s="937">
        <f t="shared" ref="E233:E239" si="19">G233+I233+K233</f>
        <v>2873</v>
      </c>
      <c r="F233" s="979">
        <f>F187</f>
        <v>2210</v>
      </c>
      <c r="G233" s="937">
        <f>INT(C233*F233)</f>
        <v>2873</v>
      </c>
      <c r="H233" s="967"/>
      <c r="I233" s="967"/>
      <c r="J233" s="967"/>
      <c r="K233" s="968"/>
    </row>
    <row r="234" spans="1:11" s="969" customFormat="1" ht="15" customHeight="1">
      <c r="A234" s="942" t="s">
        <v>2135</v>
      </c>
      <c r="B234" s="967" t="s">
        <v>2136</v>
      </c>
      <c r="C234" s="978">
        <f ca="1">'3.0수량표'!$H$23</f>
        <v>1.3</v>
      </c>
      <c r="D234" s="970" t="s">
        <v>2137</v>
      </c>
      <c r="E234" s="937">
        <f t="shared" si="19"/>
        <v>195</v>
      </c>
      <c r="F234" s="979">
        <f>F188</f>
        <v>150</v>
      </c>
      <c r="G234" s="937">
        <f>INT(C234*F234)</f>
        <v>195</v>
      </c>
      <c r="H234" s="967"/>
      <c r="I234" s="967"/>
      <c r="J234" s="967"/>
      <c r="K234" s="968"/>
    </row>
    <row r="235" spans="1:11" s="969" customFormat="1" ht="15" customHeight="1">
      <c r="A235" s="942" t="s">
        <v>2070</v>
      </c>
      <c r="B235" s="967"/>
      <c r="C235" s="980">
        <f ca="1">'3.0수량표'!$H$24</f>
        <v>5.0000000000000001E-3</v>
      </c>
      <c r="D235" s="967" t="s">
        <v>2071</v>
      </c>
      <c r="E235" s="937">
        <f t="shared" si="19"/>
        <v>461</v>
      </c>
      <c r="F235" s="937"/>
      <c r="G235" s="937"/>
      <c r="H235" s="937">
        <f ca="1">'11.0시중노임'!$F$4</f>
        <v>92218</v>
      </c>
      <c r="I235" s="937">
        <f>INT(C235*H235)</f>
        <v>461</v>
      </c>
      <c r="J235" s="937"/>
      <c r="K235" s="938"/>
    </row>
    <row r="236" spans="1:11" s="969" customFormat="1" ht="15" customHeight="1">
      <c r="A236" s="942" t="s">
        <v>2072</v>
      </c>
      <c r="B236" s="967"/>
      <c r="C236" s="980">
        <f ca="1">'3.0수량표'!$H$25</f>
        <v>0.02</v>
      </c>
      <c r="D236" s="967" t="s">
        <v>2071</v>
      </c>
      <c r="E236" s="937">
        <f t="shared" si="19"/>
        <v>1688</v>
      </c>
      <c r="F236" s="937"/>
      <c r="G236" s="937"/>
      <c r="H236" s="937">
        <f ca="1">'11.0시중노임'!$F$5</f>
        <v>84404</v>
      </c>
      <c r="I236" s="937">
        <f>INT(C236*H236)</f>
        <v>1688</v>
      </c>
      <c r="J236" s="967"/>
      <c r="K236" s="968"/>
    </row>
    <row r="237" spans="1:11" s="969" customFormat="1" ht="15" customHeight="1">
      <c r="A237" s="942" t="s">
        <v>2074</v>
      </c>
      <c r="B237" s="967"/>
      <c r="C237" s="980">
        <f ca="1">'3.0수량표'!$H$26</f>
        <v>0.02</v>
      </c>
      <c r="D237" s="967" t="s">
        <v>2071</v>
      </c>
      <c r="E237" s="937">
        <f t="shared" si="19"/>
        <v>1379</v>
      </c>
      <c r="F237" s="937"/>
      <c r="G237" s="937"/>
      <c r="H237" s="937">
        <f ca="1">'11.0시중노임'!$F$6</f>
        <v>68965</v>
      </c>
      <c r="I237" s="937">
        <f>INT(C237*H237)</f>
        <v>1379</v>
      </c>
      <c r="J237" s="967"/>
      <c r="K237" s="968"/>
    </row>
    <row r="238" spans="1:11" s="969" customFormat="1" ht="15" customHeight="1">
      <c r="A238" s="942" t="s">
        <v>2096</v>
      </c>
      <c r="B238" s="967" t="s">
        <v>2097</v>
      </c>
      <c r="C238" s="1088">
        <v>3</v>
      </c>
      <c r="D238" s="967" t="s">
        <v>2098</v>
      </c>
      <c r="E238" s="937">
        <f t="shared" si="19"/>
        <v>112.41</v>
      </c>
      <c r="F238" s="937">
        <f>SUM(G233:G234)+G227+G228+G221</f>
        <v>3747</v>
      </c>
      <c r="G238" s="937">
        <f>F238*C238/100</f>
        <v>112.41</v>
      </c>
      <c r="H238" s="937"/>
      <c r="I238" s="937"/>
      <c r="J238" s="967"/>
      <c r="K238" s="968"/>
    </row>
    <row r="239" spans="1:11" s="969" customFormat="1" ht="15" customHeight="1">
      <c r="A239" s="942" t="s">
        <v>2113</v>
      </c>
      <c r="B239" s="967" t="s">
        <v>2114</v>
      </c>
      <c r="C239" s="1088">
        <v>3</v>
      </c>
      <c r="D239" s="967" t="s">
        <v>2098</v>
      </c>
      <c r="E239" s="937">
        <f t="shared" si="19"/>
        <v>195.33</v>
      </c>
      <c r="F239" s="937"/>
      <c r="G239" s="937"/>
      <c r="H239" s="937">
        <f>SUM(I235:I237)+I231+I225</f>
        <v>6511</v>
      </c>
      <c r="I239" s="937">
        <f>H239*C239/100</f>
        <v>195.33</v>
      </c>
      <c r="J239" s="967"/>
      <c r="K239" s="968"/>
    </row>
    <row r="240" spans="1:11" s="976" customFormat="1" ht="15" customHeight="1">
      <c r="A240" s="971" t="s">
        <v>2099</v>
      </c>
      <c r="B240" s="972"/>
      <c r="C240" s="972"/>
      <c r="D240" s="972"/>
      <c r="E240" s="974">
        <f>SUM(E233:E239)</f>
        <v>6903.74</v>
      </c>
      <c r="F240" s="972"/>
      <c r="G240" s="974">
        <f>SUM(G233:G239)</f>
        <v>3180.41</v>
      </c>
      <c r="H240" s="972"/>
      <c r="I240" s="974">
        <f>SUM(I233:I239)</f>
        <v>3723.33</v>
      </c>
      <c r="J240" s="972"/>
      <c r="K240" s="981"/>
    </row>
    <row r="241" spans="1:15" s="976" customFormat="1" ht="15" customHeight="1">
      <c r="A241" s="971" t="s">
        <v>2075</v>
      </c>
      <c r="B241" s="972"/>
      <c r="C241" s="972"/>
      <c r="D241" s="972"/>
      <c r="E241" s="974">
        <f>SUM(E234:E240)</f>
        <v>10934.48</v>
      </c>
      <c r="F241" s="972"/>
      <c r="G241" s="974">
        <f>G240+G231+G225</f>
        <v>3859.41</v>
      </c>
      <c r="H241" s="972"/>
      <c r="I241" s="974">
        <f>I240+I231+I225</f>
        <v>6706.33</v>
      </c>
      <c r="J241" s="972"/>
      <c r="K241" s="981">
        <f>K240+K231+K225</f>
        <v>122</v>
      </c>
    </row>
    <row r="242" spans="1:15" s="965" customFormat="1" ht="15" customHeight="1">
      <c r="A242" s="966" t="s">
        <v>2100</v>
      </c>
      <c r="B242" s="967"/>
      <c r="C242" s="967"/>
      <c r="D242" s="967"/>
      <c r="E242" s="1089"/>
      <c r="F242" s="967"/>
      <c r="G242" s="967"/>
      <c r="H242" s="967"/>
      <c r="I242" s="967"/>
      <c r="J242" s="967"/>
      <c r="K242" s="968"/>
    </row>
    <row r="243" spans="1:15" s="931" customFormat="1" ht="15" customHeight="1">
      <c r="A243" s="576" t="s">
        <v>2101</v>
      </c>
      <c r="B243" s="573" t="s">
        <v>2102</v>
      </c>
      <c r="C243" s="944">
        <v>0.04</v>
      </c>
      <c r="D243" s="573" t="s">
        <v>2103</v>
      </c>
      <c r="E243" s="937">
        <f t="shared" ref="E243:E258" si="20">G243+I243+K243</f>
        <v>4800</v>
      </c>
      <c r="F243" s="937">
        <f ca="1">'8.0자재단가'!I48</f>
        <v>120000</v>
      </c>
      <c r="G243" s="937">
        <f>INT(C243*F243)</f>
        <v>4800</v>
      </c>
      <c r="H243" s="937"/>
      <c r="I243" s="937"/>
      <c r="J243" s="937"/>
      <c r="K243" s="938"/>
      <c r="L243" s="965"/>
      <c r="M243" s="965"/>
      <c r="N243" s="965"/>
    </row>
    <row r="244" spans="1:15" s="928" customFormat="1" ht="15" customHeight="1">
      <c r="A244" s="576" t="s">
        <v>2104</v>
      </c>
      <c r="B244" s="573" t="s">
        <v>2105</v>
      </c>
      <c r="C244" s="944">
        <v>0.4</v>
      </c>
      <c r="D244" s="573" t="s">
        <v>2103</v>
      </c>
      <c r="E244" s="1091">
        <f t="shared" si="20"/>
        <v>0</v>
      </c>
      <c r="F244" s="937">
        <f ca="1">'8.0자재단가'!I49</f>
        <v>12000</v>
      </c>
      <c r="G244" s="1091">
        <v>0</v>
      </c>
      <c r="H244" s="937"/>
      <c r="I244" s="937"/>
      <c r="J244" s="937"/>
      <c r="K244" s="938"/>
      <c r="L244" s="964"/>
      <c r="M244" s="964"/>
      <c r="N244" s="964"/>
    </row>
    <row r="245" spans="1:15" s="928" customFormat="1" ht="15" customHeight="1">
      <c r="A245" s="1085" t="s">
        <v>2106</v>
      </c>
      <c r="B245" s="1086" t="s">
        <v>2107</v>
      </c>
      <c r="C245" s="944"/>
      <c r="D245" s="573" t="s">
        <v>2108</v>
      </c>
      <c r="E245" s="1091">
        <f t="shared" si="20"/>
        <v>0</v>
      </c>
      <c r="F245" s="937">
        <f ca="1">'8.0자재단가'!I50</f>
        <v>1500</v>
      </c>
      <c r="G245" s="1091">
        <v>0</v>
      </c>
      <c r="H245" s="937"/>
      <c r="I245" s="937"/>
      <c r="J245" s="937"/>
      <c r="K245" s="938"/>
      <c r="L245" s="964"/>
      <c r="M245" s="964"/>
      <c r="N245" s="964"/>
    </row>
    <row r="246" spans="1:15" s="928" customFormat="1" ht="15" customHeight="1">
      <c r="A246" s="1085" t="s">
        <v>2060</v>
      </c>
      <c r="B246" s="1086" t="s">
        <v>2140</v>
      </c>
      <c r="C246" s="992">
        <v>38.200000000000003</v>
      </c>
      <c r="D246" s="573" t="s">
        <v>2062</v>
      </c>
      <c r="E246" s="937">
        <f t="shared" si="20"/>
        <v>28268</v>
      </c>
      <c r="F246" s="937">
        <f ca="1">'8.0자재단가'!$I$51</f>
        <v>740</v>
      </c>
      <c r="G246" s="937">
        <f t="shared" ref="G246:G251" si="21">INT(C246*F246)</f>
        <v>28268</v>
      </c>
      <c r="H246" s="937"/>
      <c r="I246" s="937"/>
      <c r="J246" s="937"/>
      <c r="K246" s="938"/>
      <c r="L246" s="964"/>
      <c r="M246" s="983"/>
      <c r="N246" s="983"/>
    </row>
    <row r="247" spans="1:15" s="928" customFormat="1" ht="15" customHeight="1">
      <c r="A247" s="1085" t="s">
        <v>2063</v>
      </c>
      <c r="B247" s="1086" t="s">
        <v>2064</v>
      </c>
      <c r="C247" s="1092">
        <v>0.56999999999999995</v>
      </c>
      <c r="D247" s="573" t="s">
        <v>2062</v>
      </c>
      <c r="E247" s="937">
        <f t="shared" si="20"/>
        <v>9120</v>
      </c>
      <c r="F247" s="937">
        <f ca="1">'8.0자재단가'!$I$57</f>
        <v>16000</v>
      </c>
      <c r="G247" s="937">
        <f t="shared" si="21"/>
        <v>9120</v>
      </c>
      <c r="H247" s="937"/>
      <c r="I247" s="937"/>
      <c r="J247" s="937"/>
      <c r="K247" s="938"/>
      <c r="L247" s="964"/>
      <c r="M247" s="964"/>
      <c r="N247" s="964"/>
    </row>
    <row r="248" spans="1:15" s="928" customFormat="1" ht="15" customHeight="1">
      <c r="A248" s="576" t="s">
        <v>2065</v>
      </c>
      <c r="B248" s="573" t="s">
        <v>2066</v>
      </c>
      <c r="C248" s="944">
        <v>0.03</v>
      </c>
      <c r="D248" s="573" t="s">
        <v>2067</v>
      </c>
      <c r="E248" s="937">
        <f t="shared" si="20"/>
        <v>1157</v>
      </c>
      <c r="F248" s="937">
        <f ca="1">'9.0중기목록'!$F$14</f>
        <v>13117</v>
      </c>
      <c r="G248" s="937">
        <f t="shared" si="21"/>
        <v>393</v>
      </c>
      <c r="H248" s="937">
        <f ca="1">'9.0중기목록'!$E$14</f>
        <v>17696</v>
      </c>
      <c r="I248" s="937">
        <f t="shared" ref="I248:I255" si="22">INT(C248*H248)</f>
        <v>530</v>
      </c>
      <c r="J248" s="937">
        <f ca="1">'9.0중기목록'!$G$14</f>
        <v>7823</v>
      </c>
      <c r="K248" s="938">
        <f>INT(C248*J248)</f>
        <v>234</v>
      </c>
      <c r="L248" s="964"/>
      <c r="M248" s="964"/>
      <c r="N248" s="964"/>
    </row>
    <row r="249" spans="1:15" s="928" customFormat="1" ht="15" customHeight="1">
      <c r="A249" s="942" t="s">
        <v>2109</v>
      </c>
      <c r="B249" s="573" t="s">
        <v>2110</v>
      </c>
      <c r="C249" s="944">
        <v>0.03</v>
      </c>
      <c r="D249" s="573" t="s">
        <v>2067</v>
      </c>
      <c r="E249" s="937">
        <f t="shared" si="20"/>
        <v>1396</v>
      </c>
      <c r="F249" s="937">
        <f ca="1">'9.0중기목록'!$F$38</f>
        <v>19373</v>
      </c>
      <c r="G249" s="937">
        <f t="shared" si="21"/>
        <v>581</v>
      </c>
      <c r="H249" s="937">
        <f ca="1">'9.0중기목록'!$E$38</f>
        <v>17696</v>
      </c>
      <c r="I249" s="937">
        <f t="shared" si="22"/>
        <v>530</v>
      </c>
      <c r="J249" s="937">
        <f ca="1">'9.0중기목록'!$G$38</f>
        <v>9529</v>
      </c>
      <c r="K249" s="938">
        <f>INT(C249*J249)</f>
        <v>285</v>
      </c>
      <c r="L249" s="964"/>
      <c r="M249" s="984"/>
      <c r="N249" s="964"/>
    </row>
    <row r="250" spans="1:15" s="928" customFormat="1" ht="15" customHeight="1">
      <c r="A250" s="943" t="s">
        <v>2111</v>
      </c>
      <c r="B250" s="573" t="s">
        <v>2112</v>
      </c>
      <c r="C250" s="944">
        <v>0.03</v>
      </c>
      <c r="D250" s="573" t="s">
        <v>2067</v>
      </c>
      <c r="E250" s="937">
        <f t="shared" si="20"/>
        <v>1039</v>
      </c>
      <c r="F250" s="937">
        <f ca="1">'9.0중기목록'!$F$12</f>
        <v>6640</v>
      </c>
      <c r="G250" s="937">
        <f t="shared" si="21"/>
        <v>199</v>
      </c>
      <c r="H250" s="937">
        <f ca="1">'9.0중기목록'!$E$12</f>
        <v>17696</v>
      </c>
      <c r="I250" s="937">
        <f t="shared" si="22"/>
        <v>530</v>
      </c>
      <c r="J250" s="937">
        <f ca="1">'9.0중기목록'!$G$12</f>
        <v>10362</v>
      </c>
      <c r="K250" s="938">
        <f>INT(C250*J250)</f>
        <v>310</v>
      </c>
      <c r="L250" s="965"/>
      <c r="M250" s="965"/>
      <c r="N250" s="965"/>
      <c r="O250" s="931"/>
    </row>
    <row r="251" spans="1:15" s="928" customFormat="1" ht="15" customHeight="1">
      <c r="A251" s="942" t="s">
        <v>2068</v>
      </c>
      <c r="B251" s="573" t="s">
        <v>2069</v>
      </c>
      <c r="C251" s="944">
        <v>2.4E-2</v>
      </c>
      <c r="D251" s="573" t="s">
        <v>2067</v>
      </c>
      <c r="E251" s="937">
        <f t="shared" si="20"/>
        <v>1026</v>
      </c>
      <c r="F251" s="937">
        <f ca="1">'9.0중기목록'!F48</f>
        <v>10217</v>
      </c>
      <c r="G251" s="937">
        <f t="shared" si="21"/>
        <v>245</v>
      </c>
      <c r="H251" s="937">
        <f ca="1">'9.0중기목록'!E48</f>
        <v>16611</v>
      </c>
      <c r="I251" s="937">
        <f t="shared" si="22"/>
        <v>398</v>
      </c>
      <c r="J251" s="937">
        <f ca="1">'9.0중기목록'!G48</f>
        <v>15971</v>
      </c>
      <c r="K251" s="938">
        <f>INT(C251*J251)</f>
        <v>383</v>
      </c>
      <c r="L251" s="964"/>
      <c r="M251" s="964"/>
      <c r="N251" s="964"/>
    </row>
    <row r="252" spans="1:15" s="928" customFormat="1" ht="15" customHeight="1">
      <c r="A252" s="576" t="s">
        <v>2070</v>
      </c>
      <c r="B252" s="573"/>
      <c r="C252" s="944">
        <v>1.2E-2</v>
      </c>
      <c r="D252" s="573" t="s">
        <v>2071</v>
      </c>
      <c r="E252" s="937">
        <f t="shared" si="20"/>
        <v>1106</v>
      </c>
      <c r="F252" s="937"/>
      <c r="G252" s="937"/>
      <c r="H252" s="937">
        <f ca="1">'11.0시중노임'!$F$4</f>
        <v>92218</v>
      </c>
      <c r="I252" s="937">
        <f t="shared" si="22"/>
        <v>1106</v>
      </c>
      <c r="J252" s="937"/>
      <c r="K252" s="938"/>
      <c r="L252" s="964"/>
      <c r="M252" s="964"/>
      <c r="N252" s="964"/>
    </row>
    <row r="253" spans="1:15" s="928" customFormat="1" ht="15" customHeight="1">
      <c r="A253" s="576" t="s">
        <v>2072</v>
      </c>
      <c r="B253" s="573"/>
      <c r="C253" s="944">
        <v>2.5000000000000001E-2</v>
      </c>
      <c r="D253" s="573" t="s">
        <v>2071</v>
      </c>
      <c r="E253" s="937">
        <f t="shared" si="20"/>
        <v>2110</v>
      </c>
      <c r="F253" s="937"/>
      <c r="G253" s="937"/>
      <c r="H253" s="937">
        <f ca="1">'11.0시중노임'!$F$5</f>
        <v>84404</v>
      </c>
      <c r="I253" s="937">
        <f t="shared" si="22"/>
        <v>2110</v>
      </c>
      <c r="J253" s="937"/>
      <c r="K253" s="938"/>
      <c r="L253" s="964"/>
      <c r="M253" s="964"/>
      <c r="N253" s="964"/>
    </row>
    <row r="254" spans="1:15" s="928" customFormat="1" ht="15" customHeight="1">
      <c r="A254" s="576" t="s">
        <v>2073</v>
      </c>
      <c r="B254" s="573"/>
      <c r="C254" s="944">
        <v>1.2E-2</v>
      </c>
      <c r="D254" s="573" t="s">
        <v>2071</v>
      </c>
      <c r="E254" s="937">
        <f t="shared" si="20"/>
        <v>1038</v>
      </c>
      <c r="F254" s="937"/>
      <c r="G254" s="937"/>
      <c r="H254" s="937">
        <f ca="1">'11.0시중노임'!$F$12</f>
        <v>86521</v>
      </c>
      <c r="I254" s="937">
        <f t="shared" si="22"/>
        <v>1038</v>
      </c>
      <c r="J254" s="937"/>
      <c r="K254" s="938"/>
      <c r="L254" s="964"/>
      <c r="M254" s="964"/>
      <c r="N254" s="964"/>
    </row>
    <row r="255" spans="1:15" s="928" customFormat="1" ht="15" customHeight="1">
      <c r="A255" s="576" t="s">
        <v>2074</v>
      </c>
      <c r="B255" s="573"/>
      <c r="C255" s="944">
        <v>0.05</v>
      </c>
      <c r="D255" s="573" t="s">
        <v>2071</v>
      </c>
      <c r="E255" s="937">
        <f t="shared" si="20"/>
        <v>3448</v>
      </c>
      <c r="F255" s="937"/>
      <c r="G255" s="937"/>
      <c r="H255" s="937">
        <f ca="1">'11.0시중노임'!$F$6</f>
        <v>68965</v>
      </c>
      <c r="I255" s="937">
        <f t="shared" si="22"/>
        <v>3448</v>
      </c>
      <c r="J255" s="937"/>
      <c r="K255" s="938"/>
      <c r="L255" s="964"/>
      <c r="M255" s="984"/>
      <c r="N255" s="964"/>
    </row>
    <row r="256" spans="1:15" s="969" customFormat="1" ht="15" customHeight="1">
      <c r="A256" s="942" t="s">
        <v>2096</v>
      </c>
      <c r="B256" s="967" t="s">
        <v>2097</v>
      </c>
      <c r="C256" s="1088">
        <v>3</v>
      </c>
      <c r="D256" s="967" t="s">
        <v>2098</v>
      </c>
      <c r="E256" s="937">
        <f t="shared" si="20"/>
        <v>1308.18</v>
      </c>
      <c r="F256" s="937">
        <f>SUM(G243:G251)</f>
        <v>43606</v>
      </c>
      <c r="G256" s="937">
        <f>F256*C256/100</f>
        <v>1308.18</v>
      </c>
      <c r="H256" s="937"/>
      <c r="I256" s="937"/>
      <c r="J256" s="967"/>
      <c r="K256" s="968"/>
    </row>
    <row r="257" spans="1:14" s="969" customFormat="1" ht="15" customHeight="1">
      <c r="A257" s="942" t="s">
        <v>2113</v>
      </c>
      <c r="B257" s="967" t="s">
        <v>2114</v>
      </c>
      <c r="C257" s="1088">
        <v>3</v>
      </c>
      <c r="D257" s="967" t="s">
        <v>2098</v>
      </c>
      <c r="E257" s="937">
        <f t="shared" si="20"/>
        <v>290.7</v>
      </c>
      <c r="F257" s="937"/>
      <c r="G257" s="937"/>
      <c r="H257" s="937">
        <f>SUM(I248:I255)</f>
        <v>9690</v>
      </c>
      <c r="I257" s="937">
        <f>H257*C257/100</f>
        <v>290.7</v>
      </c>
      <c r="J257" s="967"/>
      <c r="K257" s="968"/>
    </row>
    <row r="258" spans="1:14" s="956" customFormat="1" ht="15" customHeight="1">
      <c r="A258" s="971" t="s">
        <v>2075</v>
      </c>
      <c r="B258" s="986"/>
      <c r="C258" s="987"/>
      <c r="D258" s="986"/>
      <c r="E258" s="973">
        <f t="shared" si="20"/>
        <v>56106.880000000005</v>
      </c>
      <c r="F258" s="973"/>
      <c r="G258" s="973">
        <f>SUM(G243:G257)</f>
        <v>44914.18</v>
      </c>
      <c r="H258" s="973"/>
      <c r="I258" s="973">
        <f>SUM(I243:I257)</f>
        <v>9980.7000000000007</v>
      </c>
      <c r="J258" s="973"/>
      <c r="K258" s="988">
        <f>SUM(K243:K257)</f>
        <v>1212</v>
      </c>
      <c r="L258" s="989"/>
      <c r="M258" s="989"/>
      <c r="N258" s="989"/>
    </row>
    <row r="259" spans="1:14" s="956" customFormat="1" ht="15" customHeight="1">
      <c r="A259" s="1093"/>
      <c r="B259" s="1094"/>
      <c r="C259" s="986"/>
      <c r="D259" s="987"/>
      <c r="E259" s="973"/>
      <c r="F259" s="973"/>
      <c r="G259" s="973"/>
      <c r="H259" s="973"/>
      <c r="I259" s="973"/>
      <c r="J259" s="973"/>
      <c r="K259" s="1095"/>
      <c r="L259" s="989"/>
      <c r="M259" s="989"/>
      <c r="N259" s="989"/>
    </row>
    <row r="260" spans="1:14" s="928" customFormat="1" ht="15" customHeight="1">
      <c r="A260" s="947"/>
      <c r="B260" s="1096"/>
      <c r="C260" s="945"/>
      <c r="D260" s="945"/>
      <c r="E260" s="937"/>
      <c r="F260" s="945"/>
      <c r="G260" s="945"/>
      <c r="H260" s="945"/>
      <c r="I260" s="945"/>
      <c r="J260" s="945"/>
      <c r="K260" s="950"/>
      <c r="L260" s="964"/>
      <c r="M260" s="964"/>
      <c r="N260" s="964"/>
    </row>
    <row r="261" spans="1:14" s="956" customFormat="1" ht="15" customHeight="1">
      <c r="A261" s="951" t="s">
        <v>2076</v>
      </c>
      <c r="B261" s="952"/>
      <c r="C261" s="952"/>
      <c r="D261" s="953"/>
      <c r="E261" s="954">
        <f>E258+E240+E231+E225</f>
        <v>66794.62</v>
      </c>
      <c r="F261" s="954"/>
      <c r="G261" s="954">
        <f>G258+G241</f>
        <v>48773.59</v>
      </c>
      <c r="H261" s="954"/>
      <c r="I261" s="954">
        <f>I258+I241</f>
        <v>16687.03</v>
      </c>
      <c r="J261" s="954"/>
      <c r="K261" s="955">
        <f>K258+K241</f>
        <v>1334</v>
      </c>
      <c r="L261" s="989"/>
      <c r="M261" s="989"/>
      <c r="N261" s="989"/>
    </row>
  </sheetData>
  <mergeCells count="54">
    <mergeCell ref="A1:K1"/>
    <mergeCell ref="A3:A4"/>
    <mergeCell ref="B3:B4"/>
    <mergeCell ref="C3:C4"/>
    <mergeCell ref="D3:D4"/>
    <mergeCell ref="E3:E4"/>
    <mergeCell ref="F3:G3"/>
    <mergeCell ref="H3:I3"/>
    <mergeCell ref="J3:K3"/>
    <mergeCell ref="A126:K126"/>
    <mergeCell ref="A128:A129"/>
    <mergeCell ref="B128:B129"/>
    <mergeCell ref="C128:C129"/>
    <mergeCell ref="J128:K128"/>
    <mergeCell ref="D128:D129"/>
    <mergeCell ref="E128:E129"/>
    <mergeCell ref="F128:G128"/>
    <mergeCell ref="H128:I128"/>
    <mergeCell ref="D172:D173"/>
    <mergeCell ref="E172:E173"/>
    <mergeCell ref="A170:K170"/>
    <mergeCell ref="F172:G172"/>
    <mergeCell ref="H172:I172"/>
    <mergeCell ref="J172:K172"/>
    <mergeCell ref="A172:A173"/>
    <mergeCell ref="B172:B173"/>
    <mergeCell ref="C172:C173"/>
    <mergeCell ref="A216:K216"/>
    <mergeCell ref="A218:A219"/>
    <mergeCell ref="B218:B219"/>
    <mergeCell ref="C218:C219"/>
    <mergeCell ref="D218:D219"/>
    <mergeCell ref="E218:E219"/>
    <mergeCell ref="F218:G218"/>
    <mergeCell ref="H218:I218"/>
    <mergeCell ref="J218:K218"/>
    <mergeCell ref="A83:K83"/>
    <mergeCell ref="A85:A86"/>
    <mergeCell ref="B85:B86"/>
    <mergeCell ref="C85:C86"/>
    <mergeCell ref="D85:D86"/>
    <mergeCell ref="E85:E86"/>
    <mergeCell ref="F85:G85"/>
    <mergeCell ref="H85:I85"/>
    <mergeCell ref="J85:K85"/>
    <mergeCell ref="A40:K40"/>
    <mergeCell ref="A42:A43"/>
    <mergeCell ref="B42:B43"/>
    <mergeCell ref="C42:C43"/>
    <mergeCell ref="D42:D43"/>
    <mergeCell ref="E42:E43"/>
    <mergeCell ref="F42:G42"/>
    <mergeCell ref="H42:I42"/>
    <mergeCell ref="J42:K42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/>
  <rowBreaks count="2" manualBreakCount="2">
    <brk id="82" max="10" man="1"/>
    <brk id="125" max="10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2200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enableFormatConditionsCalculation="0">
    <tabColor indexed="41"/>
  </sheetPr>
  <dimension ref="A1:M29"/>
  <sheetViews>
    <sheetView workbookViewId="0">
      <selection activeCell="Q36" sqref="Q36"/>
    </sheetView>
  </sheetViews>
  <sheetFormatPr defaultRowHeight="15" customHeight="1"/>
  <cols>
    <col min="1" max="2" width="14.77734375" style="931" customWidth="1"/>
    <col min="3" max="3" width="5.5546875" style="1229" customWidth="1"/>
    <col min="4" max="4" width="7.33203125" style="1230" customWidth="1"/>
    <col min="5" max="12" width="8.77734375" style="1231" customWidth="1"/>
    <col min="13" max="13" width="5.21875" style="1231" customWidth="1"/>
    <col min="14" max="16384" width="8.88671875" style="931"/>
  </cols>
  <sheetData>
    <row r="1" spans="1:13" ht="30" customHeight="1">
      <c r="A1" s="1749" t="s">
        <v>2143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</row>
    <row r="2" spans="1:13" ht="24.75" customHeight="1" thickBot="1">
      <c r="A2" s="1099" t="s">
        <v>2144</v>
      </c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7"/>
    </row>
    <row r="3" spans="1:13" s="1179" customFormat="1" ht="26.25" customHeight="1">
      <c r="A3" s="1751" t="s">
        <v>2145</v>
      </c>
      <c r="B3" s="1753" t="s">
        <v>2146</v>
      </c>
      <c r="C3" s="1755" t="s">
        <v>2147</v>
      </c>
      <c r="D3" s="1750" t="s">
        <v>2148</v>
      </c>
      <c r="E3" s="1750" t="s">
        <v>2149</v>
      </c>
      <c r="F3" s="1750"/>
      <c r="G3" s="1750" t="s">
        <v>2150</v>
      </c>
      <c r="H3" s="1750"/>
      <c r="I3" s="1750" t="s">
        <v>2151</v>
      </c>
      <c r="J3" s="1750"/>
      <c r="K3" s="1750" t="s">
        <v>2152</v>
      </c>
      <c r="L3" s="1750"/>
      <c r="M3" s="1758" t="s">
        <v>2153</v>
      </c>
    </row>
    <row r="4" spans="1:13" s="1179" customFormat="1" ht="24.75" customHeight="1" thickBot="1">
      <c r="A4" s="1752"/>
      <c r="B4" s="1754"/>
      <c r="C4" s="1756"/>
      <c r="D4" s="1757"/>
      <c r="E4" s="1180" t="s">
        <v>2154</v>
      </c>
      <c r="F4" s="1180" t="s">
        <v>2155</v>
      </c>
      <c r="G4" s="1180" t="s">
        <v>2154</v>
      </c>
      <c r="H4" s="1180" t="s">
        <v>2155</v>
      </c>
      <c r="I4" s="1180" t="s">
        <v>2154</v>
      </c>
      <c r="J4" s="1180" t="s">
        <v>2155</v>
      </c>
      <c r="K4" s="1180" t="s">
        <v>2154</v>
      </c>
      <c r="L4" s="1180" t="s">
        <v>2155</v>
      </c>
      <c r="M4" s="1759"/>
    </row>
    <row r="5" spans="1:13" ht="18" customHeight="1">
      <c r="A5" s="1181" t="s">
        <v>2156</v>
      </c>
      <c r="B5" s="1182" t="s">
        <v>2157</v>
      </c>
      <c r="C5" s="1183" t="s">
        <v>2158</v>
      </c>
      <c r="D5" s="1184">
        <v>6.0000000000000001E-3</v>
      </c>
      <c r="E5" s="1185">
        <f ca="1">'033-MUDPACK-단가산출'!J56</f>
        <v>80000</v>
      </c>
      <c r="F5" s="1244">
        <f t="shared" ref="F5:F16" si="0">ROUNDDOWN((E5*D5),1)</f>
        <v>480</v>
      </c>
      <c r="G5" s="1187"/>
      <c r="H5" s="1187"/>
      <c r="I5" s="1187"/>
      <c r="J5" s="1187"/>
      <c r="K5" s="1187">
        <f t="shared" ref="K5:K19" si="1">E5+G5+I5</f>
        <v>80000</v>
      </c>
      <c r="L5" s="1245">
        <f>(F5+H5+J5)</f>
        <v>480</v>
      </c>
      <c r="M5" s="1234"/>
    </row>
    <row r="6" spans="1:13" ht="18" customHeight="1">
      <c r="A6" s="1190" t="s">
        <v>2159</v>
      </c>
      <c r="B6" s="1183"/>
      <c r="C6" s="1183" t="s">
        <v>2160</v>
      </c>
      <c r="D6" s="1246">
        <v>4</v>
      </c>
      <c r="E6" s="1185">
        <f ca="1">'033-MUDPACK-단가산출'!J59/1000</f>
        <v>25</v>
      </c>
      <c r="F6" s="1244">
        <f t="shared" si="0"/>
        <v>100</v>
      </c>
      <c r="G6" s="1185"/>
      <c r="H6" s="1185"/>
      <c r="I6" s="1185"/>
      <c r="J6" s="1185"/>
      <c r="K6" s="1185">
        <f t="shared" si="1"/>
        <v>25</v>
      </c>
      <c r="L6" s="1247">
        <f t="shared" ref="L6:L19" si="2">F6+H6+J6</f>
        <v>100</v>
      </c>
      <c r="M6" s="1189"/>
    </row>
    <row r="7" spans="1:13" ht="18" customHeight="1">
      <c r="A7" s="1196" t="s">
        <v>2161</v>
      </c>
      <c r="B7" s="1210" t="s">
        <v>2162</v>
      </c>
      <c r="C7" s="1210" t="s">
        <v>2163</v>
      </c>
      <c r="D7" s="1248">
        <v>1.2</v>
      </c>
      <c r="E7" s="1213">
        <f ca="1">'033-MUDPACK-단가산출'!J58</f>
        <v>400</v>
      </c>
      <c r="F7" s="1244">
        <f t="shared" si="0"/>
        <v>480</v>
      </c>
      <c r="G7" s="1213"/>
      <c r="H7" s="1213"/>
      <c r="I7" s="1213"/>
      <c r="J7" s="1213"/>
      <c r="K7" s="1213">
        <f t="shared" si="1"/>
        <v>400</v>
      </c>
      <c r="L7" s="1218">
        <f t="shared" si="2"/>
        <v>480</v>
      </c>
      <c r="M7" s="1175"/>
    </row>
    <row r="8" spans="1:13" ht="18" customHeight="1">
      <c r="A8" s="1196" t="s">
        <v>2164</v>
      </c>
      <c r="B8" s="1210" t="s">
        <v>2165</v>
      </c>
      <c r="C8" s="1210" t="s">
        <v>2166</v>
      </c>
      <c r="D8" s="1248">
        <v>1</v>
      </c>
      <c r="E8" s="1198">
        <v>200</v>
      </c>
      <c r="F8" s="1244">
        <f t="shared" si="0"/>
        <v>200</v>
      </c>
      <c r="G8" s="1213"/>
      <c r="H8" s="1213"/>
      <c r="I8" s="1213"/>
      <c r="J8" s="1213"/>
      <c r="K8" s="1213">
        <f t="shared" si="1"/>
        <v>200</v>
      </c>
      <c r="L8" s="1218">
        <f t="shared" si="2"/>
        <v>200</v>
      </c>
      <c r="M8" s="1175"/>
    </row>
    <row r="9" spans="1:13" ht="18" customHeight="1">
      <c r="A9" s="1196" t="s">
        <v>2167</v>
      </c>
      <c r="B9" s="1210"/>
      <c r="C9" s="1122" t="s">
        <v>2168</v>
      </c>
      <c r="D9" s="1249">
        <v>1</v>
      </c>
      <c r="E9" s="1198">
        <v>30</v>
      </c>
      <c r="F9" s="1194">
        <f t="shared" si="0"/>
        <v>30</v>
      </c>
      <c r="G9" s="1198"/>
      <c r="H9" s="1198"/>
      <c r="I9" s="1198"/>
      <c r="J9" s="1198"/>
      <c r="K9" s="1198">
        <f t="shared" si="1"/>
        <v>30</v>
      </c>
      <c r="L9" s="1208">
        <f t="shared" si="2"/>
        <v>30</v>
      </c>
      <c r="M9" s="1125"/>
    </row>
    <row r="10" spans="1:13" s="1199" customFormat="1" ht="18" customHeight="1">
      <c r="A10" s="1760" t="s">
        <v>2169</v>
      </c>
      <c r="B10" s="1210" t="s">
        <v>2170</v>
      </c>
      <c r="C10" s="1122" t="s">
        <v>2160</v>
      </c>
      <c r="D10" s="1197">
        <v>10</v>
      </c>
      <c r="E10" s="1198">
        <f ca="1">'033-MUDPACK-단가산출'!J62/1000</f>
        <v>10</v>
      </c>
      <c r="F10" s="1194">
        <f t="shared" si="0"/>
        <v>100</v>
      </c>
      <c r="G10" s="1198"/>
      <c r="H10" s="1198"/>
      <c r="I10" s="1198"/>
      <c r="J10" s="1198"/>
      <c r="K10" s="1198">
        <f t="shared" si="1"/>
        <v>10</v>
      </c>
      <c r="L10" s="1208">
        <f t="shared" si="2"/>
        <v>100</v>
      </c>
      <c r="M10" s="1125"/>
    </row>
    <row r="11" spans="1:13" s="1199" customFormat="1" ht="18" customHeight="1">
      <c r="A11" s="1761"/>
      <c r="B11" s="1210" t="s">
        <v>2171</v>
      </c>
      <c r="C11" s="1122" t="s">
        <v>2160</v>
      </c>
      <c r="D11" s="1197">
        <v>20</v>
      </c>
      <c r="E11" s="1198">
        <f ca="1">'033-MUDPACK-단가산출'!J63/1000</f>
        <v>40</v>
      </c>
      <c r="F11" s="1194">
        <f t="shared" si="0"/>
        <v>800</v>
      </c>
      <c r="G11" s="1198"/>
      <c r="H11" s="1198"/>
      <c r="I11" s="1198"/>
      <c r="J11" s="1198"/>
      <c r="K11" s="1198">
        <f t="shared" si="1"/>
        <v>40</v>
      </c>
      <c r="L11" s="1208">
        <f t="shared" si="2"/>
        <v>800</v>
      </c>
      <c r="M11" s="1125"/>
    </row>
    <row r="12" spans="1:13" s="1199" customFormat="1" ht="18" customHeight="1">
      <c r="A12" s="1196" t="s">
        <v>2172</v>
      </c>
      <c r="B12" s="1236" t="s">
        <v>2173</v>
      </c>
      <c r="C12" s="1202" t="s">
        <v>2174</v>
      </c>
      <c r="D12" s="1237">
        <v>0.08</v>
      </c>
      <c r="E12" s="1238">
        <f ca="1">'033-MUDPACK-단가산출'!J61/20</f>
        <v>1350</v>
      </c>
      <c r="F12" s="1194">
        <f t="shared" si="0"/>
        <v>108</v>
      </c>
      <c r="G12" s="1198"/>
      <c r="H12" s="1198"/>
      <c r="I12" s="1198"/>
      <c r="J12" s="1198"/>
      <c r="K12" s="1250">
        <f t="shared" si="1"/>
        <v>1350</v>
      </c>
      <c r="L12" s="1238">
        <f t="shared" si="2"/>
        <v>108</v>
      </c>
      <c r="M12" s="1125"/>
    </row>
    <row r="13" spans="1:13" s="1199" customFormat="1" ht="18" customHeight="1">
      <c r="A13" s="1196" t="s">
        <v>2175</v>
      </c>
      <c r="B13" s="1210" t="s">
        <v>2176</v>
      </c>
      <c r="C13" s="1122" t="s">
        <v>2177</v>
      </c>
      <c r="D13" s="1200">
        <v>1.2E-2</v>
      </c>
      <c r="E13" s="1198">
        <f ca="1">'033-MUDPACK-단가산출'!J14</f>
        <v>12515</v>
      </c>
      <c r="F13" s="1194">
        <f t="shared" si="0"/>
        <v>150.1</v>
      </c>
      <c r="G13" s="1198">
        <f ca="1">'033-MUDPACK-단가산출'!K17</f>
        <v>20561</v>
      </c>
      <c r="H13" s="1201">
        <f t="shared" ref="H13:H19" si="3">ROUNDDOWN((G13*D13),1)</f>
        <v>246.7</v>
      </c>
      <c r="I13" s="1198">
        <f ca="1">'033-MUDPACK-단가산출'!L11</f>
        <v>9415</v>
      </c>
      <c r="J13" s="1201">
        <f>ROUNDDOWN((I13*D13),1)</f>
        <v>112.9</v>
      </c>
      <c r="K13" s="1198">
        <f t="shared" si="1"/>
        <v>42491</v>
      </c>
      <c r="L13" s="1208">
        <f t="shared" si="2"/>
        <v>509.69999999999993</v>
      </c>
      <c r="M13" s="1125"/>
    </row>
    <row r="14" spans="1:13" s="1199" customFormat="1" ht="18" customHeight="1">
      <c r="A14" s="1196" t="s">
        <v>2178</v>
      </c>
      <c r="B14" s="1210" t="s">
        <v>2179</v>
      </c>
      <c r="C14" s="1122" t="s">
        <v>2177</v>
      </c>
      <c r="D14" s="1200">
        <v>8.0000000000000002E-3</v>
      </c>
      <c r="E14" s="1198">
        <f ca="1">'033-MUDPACK-단가산출'!J22</f>
        <v>13600.6</v>
      </c>
      <c r="F14" s="1194">
        <f t="shared" si="0"/>
        <v>108.8</v>
      </c>
      <c r="G14" s="1198">
        <f ca="1">'033-MUDPACK-단가산출'!K25</f>
        <v>17696</v>
      </c>
      <c r="H14" s="1201">
        <f t="shared" si="3"/>
        <v>141.5</v>
      </c>
      <c r="I14" s="1198">
        <f ca="1">'033-MUDPACK-단가산출'!L19</f>
        <v>7823</v>
      </c>
      <c r="J14" s="1201">
        <f>ROUNDDOWN((I14*D14),1)</f>
        <v>62.5</v>
      </c>
      <c r="K14" s="1198">
        <f t="shared" si="1"/>
        <v>39119.599999999999</v>
      </c>
      <c r="L14" s="1208">
        <f t="shared" si="2"/>
        <v>312.8</v>
      </c>
      <c r="M14" s="1125"/>
    </row>
    <row r="15" spans="1:13" s="1199" customFormat="1" ht="18" customHeight="1">
      <c r="A15" s="1196" t="s">
        <v>2180</v>
      </c>
      <c r="B15" s="1210" t="s">
        <v>2181</v>
      </c>
      <c r="C15" s="1122" t="s">
        <v>2177</v>
      </c>
      <c r="D15" s="1200">
        <v>5.0000000000000001E-3</v>
      </c>
      <c r="E15" s="1198">
        <f ca="1">'033-MUDPACK-단가산출'!J29</f>
        <v>6884</v>
      </c>
      <c r="F15" s="1194">
        <f t="shared" si="0"/>
        <v>34.4</v>
      </c>
      <c r="G15" s="1198">
        <f ca="1">'033-MUDPACK-단가산출'!K32</f>
        <v>17696</v>
      </c>
      <c r="H15" s="1201">
        <f t="shared" si="3"/>
        <v>88.4</v>
      </c>
      <c r="I15" s="1198">
        <f ca="1">'033-MUDPACK-단가산출'!L26</f>
        <v>10362</v>
      </c>
      <c r="J15" s="1201">
        <f>ROUNDDOWN((I15*D15),1)</f>
        <v>51.8</v>
      </c>
      <c r="K15" s="1198">
        <f t="shared" si="1"/>
        <v>34942</v>
      </c>
      <c r="L15" s="1208">
        <f t="shared" si="2"/>
        <v>174.60000000000002</v>
      </c>
      <c r="M15" s="1125"/>
    </row>
    <row r="16" spans="1:13" s="1199" customFormat="1" ht="18" customHeight="1">
      <c r="A16" s="1196" t="s">
        <v>2182</v>
      </c>
      <c r="B16" s="1210" t="s">
        <v>2183</v>
      </c>
      <c r="C16" s="1122" t="s">
        <v>2177</v>
      </c>
      <c r="D16" s="1200">
        <v>5.0000000000000001E-3</v>
      </c>
      <c r="E16" s="1198">
        <f ca="1">'033-MUDPACK-단가산출'!J36</f>
        <v>12419</v>
      </c>
      <c r="F16" s="1194">
        <f t="shared" si="0"/>
        <v>62</v>
      </c>
      <c r="G16" s="1198">
        <f ca="1">'033-MUDPACK-단가산출'!K39</f>
        <v>17696</v>
      </c>
      <c r="H16" s="1201">
        <f t="shared" si="3"/>
        <v>88.4</v>
      </c>
      <c r="I16" s="1198">
        <f ca="1">'033-MUDPACK-단가산출'!L33</f>
        <v>6117</v>
      </c>
      <c r="J16" s="1201">
        <f>ROUNDDOWN((I16*D16),1)</f>
        <v>30.5</v>
      </c>
      <c r="K16" s="1198">
        <f t="shared" si="1"/>
        <v>36232</v>
      </c>
      <c r="L16" s="1208">
        <f t="shared" si="2"/>
        <v>180.9</v>
      </c>
      <c r="M16" s="1125"/>
    </row>
    <row r="17" spans="1:13" s="1199" customFormat="1" ht="18" customHeight="1">
      <c r="A17" s="1196" t="s">
        <v>2184</v>
      </c>
      <c r="B17" s="1210"/>
      <c r="C17" s="1122" t="s">
        <v>2185</v>
      </c>
      <c r="D17" s="1200">
        <v>1E-3</v>
      </c>
      <c r="E17" s="1198"/>
      <c r="F17" s="1198"/>
      <c r="G17" s="1198">
        <f ca="1">'033-MUDPACK-단가산출'!E75</f>
        <v>92218</v>
      </c>
      <c r="H17" s="1201">
        <f t="shared" si="3"/>
        <v>92.2</v>
      </c>
      <c r="I17" s="1198"/>
      <c r="J17" s="1198"/>
      <c r="K17" s="1198">
        <f t="shared" si="1"/>
        <v>92218</v>
      </c>
      <c r="L17" s="1208">
        <f t="shared" si="2"/>
        <v>92.2</v>
      </c>
      <c r="M17" s="1125"/>
    </row>
    <row r="18" spans="1:13" s="1199" customFormat="1" ht="18" customHeight="1">
      <c r="A18" s="1196" t="s">
        <v>2186</v>
      </c>
      <c r="B18" s="1210"/>
      <c r="C18" s="1122" t="s">
        <v>2185</v>
      </c>
      <c r="D18" s="1200">
        <v>4.0000000000000001E-3</v>
      </c>
      <c r="E18" s="1198"/>
      <c r="F18" s="1198"/>
      <c r="G18" s="1198">
        <f ca="1">'033-MUDPACK-단가산출'!E72</f>
        <v>84404</v>
      </c>
      <c r="H18" s="1201">
        <f t="shared" si="3"/>
        <v>337.6</v>
      </c>
      <c r="I18" s="1198"/>
      <c r="J18" s="1198"/>
      <c r="K18" s="1198">
        <f t="shared" si="1"/>
        <v>84404</v>
      </c>
      <c r="L18" s="1208">
        <f t="shared" si="2"/>
        <v>337.6</v>
      </c>
      <c r="M18" s="1125"/>
    </row>
    <row r="19" spans="1:13" s="1199" customFormat="1" ht="18" customHeight="1">
      <c r="A19" s="1196" t="s">
        <v>2187</v>
      </c>
      <c r="B19" s="1210"/>
      <c r="C19" s="1122" t="s">
        <v>2185</v>
      </c>
      <c r="D19" s="1200">
        <v>1.4E-2</v>
      </c>
      <c r="E19" s="1198"/>
      <c r="F19" s="1198"/>
      <c r="G19" s="1198">
        <f ca="1">'033-MUDPACK-단가산출'!E73</f>
        <v>68965</v>
      </c>
      <c r="H19" s="1201">
        <f t="shared" si="3"/>
        <v>965.5</v>
      </c>
      <c r="I19" s="1198"/>
      <c r="J19" s="1198"/>
      <c r="K19" s="1198">
        <f t="shared" si="1"/>
        <v>68965</v>
      </c>
      <c r="L19" s="1208">
        <f t="shared" si="2"/>
        <v>965.5</v>
      </c>
      <c r="M19" s="1125"/>
    </row>
    <row r="20" spans="1:13" s="1199" customFormat="1" ht="18" customHeight="1">
      <c r="A20" s="1196"/>
      <c r="B20" s="1210"/>
      <c r="C20" s="1122"/>
      <c r="D20" s="1200"/>
      <c r="E20" s="1198"/>
      <c r="F20" s="1198"/>
      <c r="G20" s="1198"/>
      <c r="H20" s="1208"/>
      <c r="I20" s="1198"/>
      <c r="J20" s="1198"/>
      <c r="K20" s="1198"/>
      <c r="L20" s="1208"/>
      <c r="M20" s="1125"/>
    </row>
    <row r="21" spans="1:13" s="1199" customFormat="1" ht="18" customHeight="1">
      <c r="A21" s="1196"/>
      <c r="B21" s="1210"/>
      <c r="C21" s="1122"/>
      <c r="D21" s="1200"/>
      <c r="E21" s="1198"/>
      <c r="F21" s="1198"/>
      <c r="G21" s="1198"/>
      <c r="H21" s="1198"/>
      <c r="I21" s="1198"/>
      <c r="J21" s="1198"/>
      <c r="K21" s="1198"/>
      <c r="L21" s="1208"/>
      <c r="M21" s="1125"/>
    </row>
    <row r="22" spans="1:13" s="1199" customFormat="1" ht="18" customHeight="1">
      <c r="A22" s="1209" t="s">
        <v>2188</v>
      </c>
      <c r="B22" s="1251"/>
      <c r="C22" s="1252"/>
      <c r="D22" s="1253"/>
      <c r="E22" s="1254"/>
      <c r="F22" s="1214">
        <f>SUM(F5:F21)</f>
        <v>2653.3</v>
      </c>
      <c r="G22" s="1214"/>
      <c r="H22" s="1255">
        <f>INT(SUM(H5:H21))</f>
        <v>1960</v>
      </c>
      <c r="I22" s="1214"/>
      <c r="J22" s="1214">
        <f>INT(SUM(J5:J21))</f>
        <v>257</v>
      </c>
      <c r="K22" s="1213"/>
      <c r="L22" s="1218"/>
      <c r="M22" s="1175"/>
    </row>
    <row r="23" spans="1:13" s="1199" customFormat="1" ht="18" customHeight="1">
      <c r="A23" s="1196" t="s">
        <v>2189</v>
      </c>
      <c r="B23" s="1210" t="s">
        <v>2190</v>
      </c>
      <c r="C23" s="1211"/>
      <c r="D23" s="1212">
        <v>1</v>
      </c>
      <c r="E23" s="1213"/>
      <c r="F23" s="1216">
        <f>SUM(F5:F12)*0.03</f>
        <v>68.94</v>
      </c>
      <c r="G23" s="1213"/>
      <c r="H23" s="1213"/>
      <c r="I23" s="1213"/>
      <c r="J23" s="1213"/>
      <c r="K23" s="1213"/>
      <c r="L23" s="1218">
        <f>F23+H23+J23</f>
        <v>68.94</v>
      </c>
      <c r="M23" s="1175"/>
    </row>
    <row r="24" spans="1:13" s="1199" customFormat="1" ht="18" customHeight="1">
      <c r="A24" s="1196" t="s">
        <v>2191</v>
      </c>
      <c r="B24" s="1210" t="s">
        <v>2192</v>
      </c>
      <c r="C24" s="1211"/>
      <c r="D24" s="1212">
        <v>1</v>
      </c>
      <c r="E24" s="1213"/>
      <c r="F24" s="1216">
        <f>SUM(H17:H19)*0.025</f>
        <v>34.8825</v>
      </c>
      <c r="G24" s="1213"/>
      <c r="H24" s="1216"/>
      <c r="I24" s="1213"/>
      <c r="J24" s="1213"/>
      <c r="K24" s="1213"/>
      <c r="L24" s="1218">
        <f>F24+H24+J24</f>
        <v>34.8825</v>
      </c>
      <c r="M24" s="1175"/>
    </row>
    <row r="25" spans="1:13" s="1199" customFormat="1" ht="18" customHeight="1">
      <c r="A25" s="1219"/>
      <c r="B25" s="1220"/>
      <c r="C25" s="1221"/>
      <c r="D25" s="1222"/>
      <c r="E25" s="1223"/>
      <c r="F25" s="1223"/>
      <c r="G25" s="1223"/>
      <c r="H25" s="1223"/>
      <c r="I25" s="1223"/>
      <c r="J25" s="1223"/>
      <c r="K25" s="1223"/>
      <c r="L25" s="1223"/>
      <c r="M25" s="1178"/>
    </row>
    <row r="26" spans="1:13" s="976" customFormat="1" ht="22.5" customHeight="1" thickBot="1">
      <c r="A26" s="1149" t="s">
        <v>2193</v>
      </c>
      <c r="B26" s="1150"/>
      <c r="C26" s="1151"/>
      <c r="D26" s="1152"/>
      <c r="E26" s="1153"/>
      <c r="F26" s="1153">
        <f>SUM(F22:F24)</f>
        <v>2757.1225000000004</v>
      </c>
      <c r="G26" s="1153"/>
      <c r="H26" s="1153">
        <f>SUM(H22:H24)</f>
        <v>1960</v>
      </c>
      <c r="I26" s="1153"/>
      <c r="J26" s="1153">
        <f>SUM(J22:J24)</f>
        <v>257</v>
      </c>
      <c r="K26" s="1153"/>
      <c r="L26" s="1153">
        <f>F26+H26+J26</f>
        <v>4974.1225000000004</v>
      </c>
      <c r="M26" s="1155"/>
    </row>
    <row r="27" spans="1:13" s="1199" customFormat="1" ht="15" customHeight="1">
      <c r="C27" s="1226"/>
      <c r="D27" s="1227"/>
      <c r="E27" s="1228"/>
      <c r="F27" s="1228"/>
      <c r="G27" s="1228"/>
      <c r="H27" s="1228"/>
      <c r="I27" s="1228"/>
      <c r="J27" s="1228"/>
      <c r="K27" s="1228"/>
      <c r="L27" s="1228"/>
      <c r="M27" s="1228"/>
    </row>
    <row r="28" spans="1:13" s="1199" customFormat="1" ht="15" customHeight="1">
      <c r="C28" s="1226"/>
      <c r="D28" s="1227"/>
      <c r="E28" s="1228"/>
      <c r="F28" s="1228"/>
      <c r="G28" s="1228"/>
      <c r="H28" s="1228"/>
      <c r="I28" s="1228"/>
      <c r="J28" s="1228"/>
      <c r="K28" s="1228"/>
      <c r="L28" s="1228"/>
      <c r="M28" s="1228"/>
    </row>
    <row r="29" spans="1:13" ht="15" customHeight="1">
      <c r="L29" s="1242"/>
    </row>
  </sheetData>
  <mergeCells count="11">
    <mergeCell ref="A10:A11"/>
    <mergeCell ref="A1:M1"/>
    <mergeCell ref="E3:F3"/>
    <mergeCell ref="G3:H3"/>
    <mergeCell ref="I3:J3"/>
    <mergeCell ref="A3:A4"/>
    <mergeCell ref="B3:B4"/>
    <mergeCell ref="K3:L3"/>
    <mergeCell ref="C3:C4"/>
    <mergeCell ref="D3:D4"/>
    <mergeCell ref="M3:M4"/>
  </mergeCells>
  <phoneticPr fontId="3" type="noConversion"/>
  <pageMargins left="0.48" right="0.48" top="0.62" bottom="0.48" header="0.5" footer="0.5"/>
  <pageSetup paperSize="9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enableFormatConditionsCalculation="0">
    <tabColor indexed="41"/>
  </sheetPr>
  <dimension ref="A1:M32"/>
  <sheetViews>
    <sheetView workbookViewId="0">
      <selection sqref="A1:IV65536"/>
    </sheetView>
  </sheetViews>
  <sheetFormatPr defaultRowHeight="15" customHeight="1"/>
  <cols>
    <col min="1" max="1" width="15.33203125" style="931" customWidth="1"/>
    <col min="2" max="2" width="14.44140625" style="931" customWidth="1"/>
    <col min="3" max="3" width="5.5546875" style="1229" customWidth="1"/>
    <col min="4" max="4" width="7.33203125" style="1230" customWidth="1"/>
    <col min="5" max="12" width="8.77734375" style="1231" customWidth="1"/>
    <col min="13" max="13" width="5.77734375" style="1231" customWidth="1"/>
    <col min="14" max="16384" width="8.88671875" style="931"/>
  </cols>
  <sheetData>
    <row r="1" spans="1:13" ht="30" customHeight="1">
      <c r="A1" s="1749" t="s">
        <v>227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</row>
    <row r="2" spans="1:13" ht="24.75" customHeight="1" thickBot="1">
      <c r="A2" s="1099" t="s">
        <v>247</v>
      </c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7"/>
    </row>
    <row r="3" spans="1:13" s="1179" customFormat="1" ht="26.25" customHeight="1">
      <c r="A3" s="1751" t="s">
        <v>228</v>
      </c>
      <c r="B3" s="1755" t="s">
        <v>95</v>
      </c>
      <c r="C3" s="1755" t="s">
        <v>288</v>
      </c>
      <c r="D3" s="1750" t="s">
        <v>691</v>
      </c>
      <c r="E3" s="1750" t="s">
        <v>2205</v>
      </c>
      <c r="F3" s="1750"/>
      <c r="G3" s="1750" t="s">
        <v>2206</v>
      </c>
      <c r="H3" s="1750"/>
      <c r="I3" s="1750" t="s">
        <v>229</v>
      </c>
      <c r="J3" s="1750"/>
      <c r="K3" s="1750" t="s">
        <v>148</v>
      </c>
      <c r="L3" s="1750"/>
      <c r="M3" s="1758" t="s">
        <v>230</v>
      </c>
    </row>
    <row r="4" spans="1:13" s="1179" customFormat="1" ht="24.75" customHeight="1" thickBot="1">
      <c r="A4" s="1752"/>
      <c r="B4" s="1756"/>
      <c r="C4" s="1756"/>
      <c r="D4" s="1757"/>
      <c r="E4" s="1180" t="s">
        <v>1405</v>
      </c>
      <c r="F4" s="1180" t="s">
        <v>830</v>
      </c>
      <c r="G4" s="1180" t="s">
        <v>1405</v>
      </c>
      <c r="H4" s="1180" t="s">
        <v>830</v>
      </c>
      <c r="I4" s="1180" t="s">
        <v>1405</v>
      </c>
      <c r="J4" s="1180" t="s">
        <v>830</v>
      </c>
      <c r="K4" s="1180" t="s">
        <v>1405</v>
      </c>
      <c r="L4" s="1180" t="s">
        <v>830</v>
      </c>
      <c r="M4" s="1759"/>
    </row>
    <row r="5" spans="1:13" ht="18.75" customHeight="1">
      <c r="A5" s="1181" t="s">
        <v>248</v>
      </c>
      <c r="B5" s="1182" t="s">
        <v>231</v>
      </c>
      <c r="C5" s="1182" t="s">
        <v>700</v>
      </c>
      <c r="D5" s="1232">
        <v>1.2E-2</v>
      </c>
      <c r="E5" s="1233">
        <f ca="1">'033-MUDPACK-단가산출'!J56</f>
        <v>80000</v>
      </c>
      <c r="F5" s="1186">
        <f t="shared" ref="F5:F11" si="0">ROUNDDOWN((E5*D5),1)</f>
        <v>960</v>
      </c>
      <c r="G5" s="1187"/>
      <c r="H5" s="1187"/>
      <c r="I5" s="1187"/>
      <c r="J5" s="1187"/>
      <c r="K5" s="1187">
        <f t="shared" ref="K5:K18" si="1">E5+G5+I5</f>
        <v>80000</v>
      </c>
      <c r="L5" s="1187">
        <f t="shared" ref="L5:L18" si="2">F5+H5+J5</f>
        <v>960</v>
      </c>
      <c r="M5" s="1234"/>
    </row>
    <row r="6" spans="1:13" ht="18.75" customHeight="1">
      <c r="A6" s="1196" t="s">
        <v>232</v>
      </c>
      <c r="B6" s="1210"/>
      <c r="C6" s="1210" t="s">
        <v>233</v>
      </c>
      <c r="D6" s="1235">
        <v>8</v>
      </c>
      <c r="E6" s="1198">
        <f ca="1">'033-MUDPACK-단가산출'!J59/1000</f>
        <v>25</v>
      </c>
      <c r="F6" s="1216">
        <f t="shared" si="0"/>
        <v>200</v>
      </c>
      <c r="G6" s="1213"/>
      <c r="H6" s="1213"/>
      <c r="I6" s="1213"/>
      <c r="J6" s="1213"/>
      <c r="K6" s="1213">
        <f t="shared" si="1"/>
        <v>25</v>
      </c>
      <c r="L6" s="1213">
        <f t="shared" si="2"/>
        <v>200</v>
      </c>
      <c r="M6" s="1175"/>
    </row>
    <row r="7" spans="1:13" ht="18.75" customHeight="1">
      <c r="A7" s="1196" t="s">
        <v>249</v>
      </c>
      <c r="B7" s="1210"/>
      <c r="C7" s="1210" t="s">
        <v>233</v>
      </c>
      <c r="D7" s="1235">
        <v>30</v>
      </c>
      <c r="E7" s="1198">
        <f ca="1">'033-MUDPACK-단가산출'!J60/1000</f>
        <v>4</v>
      </c>
      <c r="F7" s="1216">
        <f t="shared" si="0"/>
        <v>120</v>
      </c>
      <c r="G7" s="1213"/>
      <c r="H7" s="1213"/>
      <c r="I7" s="1213"/>
      <c r="J7" s="1213"/>
      <c r="K7" s="1213">
        <f t="shared" si="1"/>
        <v>4</v>
      </c>
      <c r="L7" s="1213">
        <f t="shared" si="2"/>
        <v>120</v>
      </c>
      <c r="M7" s="1175"/>
    </row>
    <row r="8" spans="1:13" s="1199" customFormat="1" ht="18.75" customHeight="1">
      <c r="A8" s="1762" t="s">
        <v>235</v>
      </c>
      <c r="B8" s="1210" t="s">
        <v>236</v>
      </c>
      <c r="C8" s="1210" t="s">
        <v>233</v>
      </c>
      <c r="D8" s="1212">
        <v>15</v>
      </c>
      <c r="E8" s="1198">
        <f ca="1">'033-MUDPACK-단가산출'!J62/1000</f>
        <v>10</v>
      </c>
      <c r="F8" s="1216">
        <f t="shared" si="0"/>
        <v>150</v>
      </c>
      <c r="G8" s="1213"/>
      <c r="H8" s="1213"/>
      <c r="I8" s="1213"/>
      <c r="J8" s="1213"/>
      <c r="K8" s="1213">
        <f t="shared" si="1"/>
        <v>10</v>
      </c>
      <c r="L8" s="1213">
        <f t="shared" si="2"/>
        <v>150</v>
      </c>
      <c r="M8" s="1175"/>
    </row>
    <row r="9" spans="1:13" s="1199" customFormat="1" ht="18.75" customHeight="1">
      <c r="A9" s="1762"/>
      <c r="B9" s="1210" t="s">
        <v>237</v>
      </c>
      <c r="C9" s="1210" t="s">
        <v>233</v>
      </c>
      <c r="D9" s="1212">
        <v>25</v>
      </c>
      <c r="E9" s="1198">
        <f ca="1">'033-MUDPACK-단가산출'!J63/1000</f>
        <v>40</v>
      </c>
      <c r="F9" s="1216">
        <f t="shared" si="0"/>
        <v>1000</v>
      </c>
      <c r="G9" s="1213"/>
      <c r="H9" s="1213"/>
      <c r="I9" s="1213"/>
      <c r="J9" s="1213"/>
      <c r="K9" s="1213">
        <f t="shared" si="1"/>
        <v>40</v>
      </c>
      <c r="L9" s="1213">
        <f t="shared" si="2"/>
        <v>1000</v>
      </c>
      <c r="M9" s="1175"/>
    </row>
    <row r="10" spans="1:13" s="1199" customFormat="1" ht="18.75" customHeight="1">
      <c r="A10" s="1196" t="s">
        <v>238</v>
      </c>
      <c r="B10" s="1236" t="s">
        <v>239</v>
      </c>
      <c r="C10" s="1236" t="s">
        <v>1223</v>
      </c>
      <c r="D10" s="1237">
        <v>0.12</v>
      </c>
      <c r="E10" s="1238">
        <f ca="1">'033-MUDPACK-단가산출'!J61/20</f>
        <v>1350</v>
      </c>
      <c r="F10" s="1201">
        <f t="shared" si="0"/>
        <v>162</v>
      </c>
      <c r="G10" s="1198"/>
      <c r="H10" s="1198"/>
      <c r="I10" s="1198"/>
      <c r="J10" s="1198"/>
      <c r="K10" s="1208">
        <f t="shared" si="1"/>
        <v>1350</v>
      </c>
      <c r="L10" s="1213">
        <f t="shared" si="2"/>
        <v>162</v>
      </c>
      <c r="M10" s="1175"/>
    </row>
    <row r="11" spans="1:13" s="1199" customFormat="1" ht="18.75" customHeight="1">
      <c r="A11" s="1196" t="s">
        <v>250</v>
      </c>
      <c r="B11" s="1210" t="s">
        <v>240</v>
      </c>
      <c r="C11" s="1210" t="s">
        <v>680</v>
      </c>
      <c r="D11" s="1200">
        <v>2.1999999999999999E-2</v>
      </c>
      <c r="E11" s="1198">
        <f ca="1">'033-MUDPACK-단가산출'!J14</f>
        <v>12515</v>
      </c>
      <c r="F11" s="1201">
        <f t="shared" si="0"/>
        <v>275.3</v>
      </c>
      <c r="G11" s="1198">
        <f ca="1">'033-MUDPACK-단가산출'!K17</f>
        <v>20561</v>
      </c>
      <c r="H11" s="1201">
        <f ca="1">ROUNDDOWN((G11*D11),1)</f>
        <v>452.3</v>
      </c>
      <c r="I11" s="1198">
        <f ca="1">'033-MUDPACK-단가산출'!L11</f>
        <v>9415</v>
      </c>
      <c r="J11" s="1201">
        <f>ROUNDDOWN((I11*D11),1)</f>
        <v>207.1</v>
      </c>
      <c r="K11" s="1198">
        <f t="shared" si="1"/>
        <v>42491</v>
      </c>
      <c r="L11" s="1213">
        <f t="shared" si="2"/>
        <v>934.7</v>
      </c>
      <c r="M11" s="1175"/>
    </row>
    <row r="12" spans="1:13" s="1199" customFormat="1" ht="18.75" customHeight="1">
      <c r="A12" s="1196" t="s">
        <v>685</v>
      </c>
      <c r="B12" s="1239"/>
      <c r="C12" s="1210" t="s">
        <v>680</v>
      </c>
      <c r="D12" s="1200">
        <v>1.2E-2</v>
      </c>
      <c r="E12" s="1203"/>
      <c r="F12" s="1204"/>
      <c r="G12" s="1205"/>
      <c r="H12" s="1204"/>
      <c r="I12" s="1198">
        <f ca="1">'033-MUDPACK-단가산출'!L18</f>
        <v>7417.8112000000001</v>
      </c>
      <c r="J12" s="1201">
        <f>ROUNDDOWN((I12*D12),1)</f>
        <v>89</v>
      </c>
      <c r="K12" s="1198">
        <f t="shared" si="1"/>
        <v>7417.8112000000001</v>
      </c>
      <c r="L12" s="1213">
        <f t="shared" si="2"/>
        <v>89</v>
      </c>
      <c r="M12" s="1175"/>
    </row>
    <row r="13" spans="1:13" s="1199" customFormat="1" ht="18.75" customHeight="1">
      <c r="A13" s="1196" t="s">
        <v>2220</v>
      </c>
      <c r="B13" s="1210" t="s">
        <v>847</v>
      </c>
      <c r="C13" s="1210" t="s">
        <v>680</v>
      </c>
      <c r="D13" s="1200">
        <v>1.4999999999999999E-2</v>
      </c>
      <c r="E13" s="1198">
        <f ca="1">'033-MUDPACK-단가산출'!J22</f>
        <v>13600.6</v>
      </c>
      <c r="F13" s="1201">
        <f ca="1">ROUNDDOWN((E13*D13),1)</f>
        <v>204</v>
      </c>
      <c r="G13" s="1198">
        <f ca="1">'033-MUDPACK-단가산출'!K25</f>
        <v>17696</v>
      </c>
      <c r="H13" s="1201">
        <f t="shared" ref="H13:H18" si="3">ROUNDDOWN((G13*D13),1)</f>
        <v>265.39999999999998</v>
      </c>
      <c r="I13" s="1198">
        <f ca="1">'033-MUDPACK-단가산출'!L19</f>
        <v>7823</v>
      </c>
      <c r="J13" s="1201">
        <f>ROUNDDOWN((I13*D13),1)</f>
        <v>117.3</v>
      </c>
      <c r="K13" s="1193">
        <f t="shared" si="1"/>
        <v>39119.599999999999</v>
      </c>
      <c r="L13" s="1213">
        <f t="shared" si="2"/>
        <v>586.69999999999993</v>
      </c>
      <c r="M13" s="1175"/>
    </row>
    <row r="14" spans="1:13" s="1199" customFormat="1" ht="18.75" customHeight="1">
      <c r="A14" s="1196" t="s">
        <v>1642</v>
      </c>
      <c r="B14" s="1210" t="s">
        <v>1259</v>
      </c>
      <c r="C14" s="1210" t="s">
        <v>680</v>
      </c>
      <c r="D14" s="1200">
        <v>8.0000000000000002E-3</v>
      </c>
      <c r="E14" s="1198">
        <f ca="1">'033-MUDPACK-단가산출'!J29</f>
        <v>6884</v>
      </c>
      <c r="F14" s="1201">
        <f ca="1">ROUNDDOWN((E14*D14),1)</f>
        <v>55</v>
      </c>
      <c r="G14" s="1198">
        <f ca="1">'033-MUDPACK-단가산출'!K32</f>
        <v>17696</v>
      </c>
      <c r="H14" s="1201">
        <f t="shared" si="3"/>
        <v>141.5</v>
      </c>
      <c r="I14" s="1198">
        <f ca="1">'033-MUDPACK-단가산출'!L26</f>
        <v>10362</v>
      </c>
      <c r="J14" s="1201">
        <f>ROUNDDOWN((I14*D14),1)</f>
        <v>82.8</v>
      </c>
      <c r="K14" s="1193">
        <f t="shared" si="1"/>
        <v>34942</v>
      </c>
      <c r="L14" s="1213">
        <f t="shared" si="2"/>
        <v>279.3</v>
      </c>
      <c r="M14" s="1175"/>
    </row>
    <row r="15" spans="1:13" s="1199" customFormat="1" ht="18.75" customHeight="1">
      <c r="A15" s="1196" t="s">
        <v>836</v>
      </c>
      <c r="B15" s="1210" t="s">
        <v>241</v>
      </c>
      <c r="C15" s="1210" t="s">
        <v>680</v>
      </c>
      <c r="D15" s="1200">
        <v>8.0000000000000002E-3</v>
      </c>
      <c r="E15" s="1198">
        <f ca="1">'033-MUDPACK-단가산출'!J36</f>
        <v>12419</v>
      </c>
      <c r="F15" s="1201">
        <f ca="1">ROUNDDOWN((E15*D15),1)</f>
        <v>99.3</v>
      </c>
      <c r="G15" s="1198">
        <f ca="1">'033-MUDPACK-단가산출'!K39</f>
        <v>17696</v>
      </c>
      <c r="H15" s="1201">
        <f t="shared" si="3"/>
        <v>141.5</v>
      </c>
      <c r="I15" s="1198">
        <f ca="1">'033-MUDPACK-단가산출'!L33</f>
        <v>6117</v>
      </c>
      <c r="J15" s="1201">
        <f>ROUNDDOWN((I15*D15),1)</f>
        <v>48.9</v>
      </c>
      <c r="K15" s="1193">
        <f t="shared" si="1"/>
        <v>36232</v>
      </c>
      <c r="L15" s="1213">
        <f t="shared" si="2"/>
        <v>289.7</v>
      </c>
      <c r="M15" s="1175"/>
    </row>
    <row r="16" spans="1:13" s="1199" customFormat="1" ht="18.75" customHeight="1">
      <c r="A16" s="1196" t="s">
        <v>837</v>
      </c>
      <c r="B16" s="1210"/>
      <c r="C16" s="1210" t="s">
        <v>1221</v>
      </c>
      <c r="D16" s="1200">
        <v>2E-3</v>
      </c>
      <c r="E16" s="1198"/>
      <c r="F16" s="1201"/>
      <c r="G16" s="1198">
        <f ca="1">'033-MUDPACK-단가산출'!E75</f>
        <v>92218</v>
      </c>
      <c r="H16" s="1201">
        <f t="shared" si="3"/>
        <v>184.4</v>
      </c>
      <c r="I16" s="1198"/>
      <c r="J16" s="1201"/>
      <c r="K16" s="1193">
        <f t="shared" si="1"/>
        <v>92218</v>
      </c>
      <c r="L16" s="1213">
        <f t="shared" si="2"/>
        <v>184.4</v>
      </c>
      <c r="M16" s="1175"/>
    </row>
    <row r="17" spans="1:13" s="1199" customFormat="1" ht="18.75" customHeight="1">
      <c r="A17" s="1196" t="s">
        <v>1422</v>
      </c>
      <c r="B17" s="1210"/>
      <c r="C17" s="1210" t="s">
        <v>1221</v>
      </c>
      <c r="D17" s="1200">
        <v>8.0000000000000002E-3</v>
      </c>
      <c r="E17" s="1198"/>
      <c r="F17" s="1201"/>
      <c r="G17" s="1198">
        <f ca="1">'033-MUDPACK-단가산출'!E72</f>
        <v>84404</v>
      </c>
      <c r="H17" s="1201">
        <f t="shared" si="3"/>
        <v>675.2</v>
      </c>
      <c r="I17" s="1198"/>
      <c r="J17" s="1201"/>
      <c r="K17" s="1193">
        <f t="shared" si="1"/>
        <v>84404</v>
      </c>
      <c r="L17" s="1213">
        <f t="shared" si="2"/>
        <v>675.2</v>
      </c>
      <c r="M17" s="1175"/>
    </row>
    <row r="18" spans="1:13" s="1199" customFormat="1" ht="18.75" customHeight="1">
      <c r="A18" s="1196" t="s">
        <v>839</v>
      </c>
      <c r="B18" s="1210"/>
      <c r="C18" s="1210" t="s">
        <v>1221</v>
      </c>
      <c r="D18" s="1200">
        <v>1.7999999999999999E-2</v>
      </c>
      <c r="E18" s="1198"/>
      <c r="F18" s="1201"/>
      <c r="G18" s="1198">
        <f ca="1">'033-MUDPACK-단가산출'!E73</f>
        <v>68965</v>
      </c>
      <c r="H18" s="1201">
        <f t="shared" si="3"/>
        <v>1241.3</v>
      </c>
      <c r="I18" s="1198"/>
      <c r="J18" s="1201"/>
      <c r="K18" s="1193">
        <f t="shared" si="1"/>
        <v>68965</v>
      </c>
      <c r="L18" s="1213">
        <f t="shared" si="2"/>
        <v>1241.3</v>
      </c>
      <c r="M18" s="1175"/>
    </row>
    <row r="19" spans="1:13" s="1199" customFormat="1" ht="18.75" customHeight="1">
      <c r="A19" s="1196"/>
      <c r="B19" s="1210"/>
      <c r="C19" s="1210"/>
      <c r="D19" s="1200"/>
      <c r="E19" s="1198"/>
      <c r="F19" s="1198"/>
      <c r="G19" s="1198"/>
      <c r="H19" s="1198"/>
      <c r="I19" s="1198"/>
      <c r="J19" s="1198"/>
      <c r="K19" s="1193"/>
      <c r="L19" s="1213"/>
      <c r="M19" s="1175"/>
    </row>
    <row r="20" spans="1:13" s="1199" customFormat="1" ht="18.75" customHeight="1">
      <c r="A20" s="1207"/>
      <c r="B20" s="1210"/>
      <c r="C20" s="1211"/>
      <c r="D20" s="1197"/>
      <c r="E20" s="1198"/>
      <c r="F20" s="1198"/>
      <c r="G20" s="1198"/>
      <c r="H20" s="1198"/>
      <c r="I20" s="1198"/>
      <c r="J20" s="1198"/>
      <c r="K20" s="1198"/>
      <c r="L20" s="1213"/>
      <c r="M20" s="1175"/>
    </row>
    <row r="21" spans="1:13" s="1199" customFormat="1" ht="18.75" customHeight="1">
      <c r="A21" s="1209" t="s">
        <v>242</v>
      </c>
      <c r="B21" s="1210"/>
      <c r="C21" s="1211"/>
      <c r="D21" s="1212"/>
      <c r="E21" s="1198"/>
      <c r="F21" s="1214">
        <f>INT(SUM(F5:F20))</f>
        <v>3225</v>
      </c>
      <c r="G21" s="1214"/>
      <c r="H21" s="1214">
        <f>INT(SUM(H5:H20))</f>
        <v>3101</v>
      </c>
      <c r="I21" s="1214"/>
      <c r="J21" s="1214">
        <f>INT(SUM(J5:J20))</f>
        <v>545</v>
      </c>
      <c r="K21" s="1213"/>
      <c r="L21" s="1213"/>
      <c r="M21" s="1175"/>
    </row>
    <row r="22" spans="1:13" s="1199" customFormat="1" ht="18.75" customHeight="1">
      <c r="A22" s="1196" t="s">
        <v>666</v>
      </c>
      <c r="B22" s="1210" t="s">
        <v>243</v>
      </c>
      <c r="C22" s="1211"/>
      <c r="D22" s="1212">
        <v>1</v>
      </c>
      <c r="E22" s="1198"/>
      <c r="F22" s="1216">
        <f>SUM(F5:F10)*0.03</f>
        <v>77.759999999999991</v>
      </c>
      <c r="G22" s="1213"/>
      <c r="H22" s="1213"/>
      <c r="I22" s="1213"/>
      <c r="J22" s="1213"/>
      <c r="K22" s="1213"/>
      <c r="L22" s="1213">
        <f>F22+H22+J22</f>
        <v>77.759999999999991</v>
      </c>
      <c r="M22" s="1175"/>
    </row>
    <row r="23" spans="1:13" s="1199" customFormat="1" ht="18.75" customHeight="1">
      <c r="A23" s="1196" t="s">
        <v>244</v>
      </c>
      <c r="B23" s="1210" t="s">
        <v>245</v>
      </c>
      <c r="C23" s="1211"/>
      <c r="D23" s="1212">
        <v>1</v>
      </c>
      <c r="E23" s="1198"/>
      <c r="F23" s="1216">
        <f>SUM(H16:H18)*0.025</f>
        <v>52.522500000000008</v>
      </c>
      <c r="G23" s="1213"/>
      <c r="H23" s="1218"/>
      <c r="I23" s="1213"/>
      <c r="J23" s="1213"/>
      <c r="K23" s="1213"/>
      <c r="L23" s="1213">
        <f>F23+H23+J23</f>
        <v>52.522500000000008</v>
      </c>
      <c r="M23" s="1175"/>
    </row>
    <row r="24" spans="1:13" s="1199" customFormat="1" ht="18.75" customHeight="1">
      <c r="A24" s="1219"/>
      <c r="B24" s="1220"/>
      <c r="C24" s="1221"/>
      <c r="D24" s="1222"/>
      <c r="E24" s="1240"/>
      <c r="F24" s="1223"/>
      <c r="G24" s="1223"/>
      <c r="H24" s="1223"/>
      <c r="I24" s="1223"/>
      <c r="J24" s="1223"/>
      <c r="K24" s="1223"/>
      <c r="L24" s="1223"/>
      <c r="M24" s="1178"/>
    </row>
    <row r="25" spans="1:13" s="976" customFormat="1" ht="18.75" customHeight="1" thickBot="1">
      <c r="A25" s="1149" t="s">
        <v>246</v>
      </c>
      <c r="B25" s="1150"/>
      <c r="C25" s="1151"/>
      <c r="D25" s="1152"/>
      <c r="E25" s="1153"/>
      <c r="F25" s="1153">
        <f>SUM(F21:F23)</f>
        <v>3355.2825000000003</v>
      </c>
      <c r="G25" s="1153"/>
      <c r="H25" s="1153">
        <f>SUM(H21:H23)</f>
        <v>3101</v>
      </c>
      <c r="I25" s="1153"/>
      <c r="J25" s="1153">
        <f>SUM(J21:J23)</f>
        <v>545</v>
      </c>
      <c r="K25" s="1153"/>
      <c r="L25" s="1153">
        <f>F25+H25+J25</f>
        <v>7001.2825000000003</v>
      </c>
      <c r="M25" s="1155"/>
    </row>
    <row r="26" spans="1:13" s="1199" customFormat="1" ht="15" customHeight="1">
      <c r="C26" s="1226"/>
      <c r="D26" s="1227"/>
      <c r="E26" s="1241"/>
      <c r="F26" s="1228"/>
      <c r="G26" s="1228"/>
      <c r="H26" s="1228"/>
      <c r="I26" s="1228"/>
      <c r="J26" s="1228"/>
      <c r="K26" s="1228"/>
      <c r="L26" s="1228"/>
      <c r="M26" s="1228"/>
    </row>
    <row r="27" spans="1:13" ht="15" customHeight="1">
      <c r="E27" s="1242"/>
    </row>
    <row r="28" spans="1:13" ht="15" customHeight="1">
      <c r="E28" s="1242"/>
    </row>
    <row r="32" spans="1:13" ht="15" customHeight="1">
      <c r="G32" s="1243"/>
    </row>
  </sheetData>
  <mergeCells count="11">
    <mergeCell ref="C3:C4"/>
    <mergeCell ref="D3:D4"/>
    <mergeCell ref="M3:M4"/>
    <mergeCell ref="A8:A9"/>
    <mergeCell ref="A1:M1"/>
    <mergeCell ref="E3:F3"/>
    <mergeCell ref="G3:H3"/>
    <mergeCell ref="I3:J3"/>
    <mergeCell ref="A3:A4"/>
    <mergeCell ref="B3:B4"/>
    <mergeCell ref="K3:L3"/>
  </mergeCells>
  <phoneticPr fontId="3" type="noConversion"/>
  <pageMargins left="0.48" right="0.48" top="0.62" bottom="0.48" header="0.5" footer="0.5"/>
  <pageSetup paperSize="9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sqref="A1:IV65536"/>
    </sheetView>
  </sheetViews>
  <sheetFormatPr defaultRowHeight="15" customHeight="1"/>
  <cols>
    <col min="1" max="1" width="15" style="931" customWidth="1"/>
    <col min="2" max="2" width="14.77734375" style="931" customWidth="1"/>
    <col min="3" max="3" width="5.5546875" style="1229" customWidth="1"/>
    <col min="4" max="4" width="7.33203125" style="1230" customWidth="1"/>
    <col min="5" max="12" width="8.77734375" style="1231" customWidth="1"/>
    <col min="13" max="13" width="5.77734375" style="1231" customWidth="1"/>
    <col min="14" max="16384" width="8.88671875" style="931"/>
  </cols>
  <sheetData>
    <row r="1" spans="1:13" ht="30" customHeight="1">
      <c r="A1" s="1749" t="s">
        <v>227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</row>
    <row r="2" spans="1:13" ht="24.75" customHeight="1" thickBot="1">
      <c r="A2" s="1099" t="s">
        <v>251</v>
      </c>
      <c r="B2" s="1097"/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7"/>
    </row>
    <row r="3" spans="1:13" s="1179" customFormat="1" ht="26.25" customHeight="1">
      <c r="A3" s="1751" t="s">
        <v>228</v>
      </c>
      <c r="B3" s="1755" t="s">
        <v>95</v>
      </c>
      <c r="C3" s="1755" t="s">
        <v>288</v>
      </c>
      <c r="D3" s="1750" t="s">
        <v>691</v>
      </c>
      <c r="E3" s="1750" t="s">
        <v>2205</v>
      </c>
      <c r="F3" s="1750"/>
      <c r="G3" s="1750" t="s">
        <v>2206</v>
      </c>
      <c r="H3" s="1750"/>
      <c r="I3" s="1750" t="s">
        <v>229</v>
      </c>
      <c r="J3" s="1750"/>
      <c r="K3" s="1750" t="s">
        <v>148</v>
      </c>
      <c r="L3" s="1750"/>
      <c r="M3" s="1758" t="s">
        <v>230</v>
      </c>
    </row>
    <row r="4" spans="1:13" s="1179" customFormat="1" ht="24.75" customHeight="1" thickBot="1">
      <c r="A4" s="1752"/>
      <c r="B4" s="1756"/>
      <c r="C4" s="1756"/>
      <c r="D4" s="1757"/>
      <c r="E4" s="1180" t="s">
        <v>1405</v>
      </c>
      <c r="F4" s="1180" t="s">
        <v>830</v>
      </c>
      <c r="G4" s="1180" t="s">
        <v>1405</v>
      </c>
      <c r="H4" s="1180" t="s">
        <v>830</v>
      </c>
      <c r="I4" s="1180" t="s">
        <v>1405</v>
      </c>
      <c r="J4" s="1180" t="s">
        <v>830</v>
      </c>
      <c r="K4" s="1180" t="s">
        <v>1405</v>
      </c>
      <c r="L4" s="1180" t="s">
        <v>830</v>
      </c>
      <c r="M4" s="1759"/>
    </row>
    <row r="5" spans="1:13" ht="17.45" customHeight="1">
      <c r="A5" s="1181" t="s">
        <v>248</v>
      </c>
      <c r="B5" s="1182" t="s">
        <v>231</v>
      </c>
      <c r="C5" s="1183" t="s">
        <v>700</v>
      </c>
      <c r="D5" s="1184">
        <v>3.5999999999999997E-2</v>
      </c>
      <c r="E5" s="1185">
        <f ca="1">'033-MUDPACK-단가산출'!J56</f>
        <v>80000</v>
      </c>
      <c r="F5" s="1186">
        <f ca="1">ROUNDDOWN((E5*D5),1)</f>
        <v>2880</v>
      </c>
      <c r="G5" s="1187"/>
      <c r="H5" s="1187"/>
      <c r="I5" s="1187"/>
      <c r="J5" s="1187"/>
      <c r="K5" s="1187">
        <f t="shared" ref="K5:K18" si="0">E5+G5+I5</f>
        <v>80000</v>
      </c>
      <c r="L5" s="1188">
        <f t="shared" ref="L5:L18" si="1">F5+H5+J5</f>
        <v>2880</v>
      </c>
      <c r="M5" s="1189"/>
    </row>
    <row r="6" spans="1:13" ht="17.45" customHeight="1">
      <c r="A6" s="1190" t="s">
        <v>232</v>
      </c>
      <c r="B6" s="1191"/>
      <c r="C6" s="1191" t="s">
        <v>233</v>
      </c>
      <c r="D6" s="1192">
        <v>24</v>
      </c>
      <c r="E6" s="1193">
        <f ca="1">'033-MUDPACK-단가산출'!J59/1000</f>
        <v>25</v>
      </c>
      <c r="F6" s="1194">
        <f ca="1">ROUNDDOWN((E6*D6),1)</f>
        <v>600</v>
      </c>
      <c r="G6" s="1193"/>
      <c r="H6" s="1193"/>
      <c r="I6" s="1193"/>
      <c r="J6" s="1193"/>
      <c r="K6" s="1193">
        <f t="shared" si="0"/>
        <v>25</v>
      </c>
      <c r="L6" s="1195">
        <f t="shared" si="1"/>
        <v>600</v>
      </c>
      <c r="M6" s="1189"/>
    </row>
    <row r="7" spans="1:13" ht="17.45" customHeight="1">
      <c r="A7" s="1196" t="s">
        <v>249</v>
      </c>
      <c r="B7" s="1191"/>
      <c r="C7" s="1191" t="s">
        <v>233</v>
      </c>
      <c r="D7" s="1192">
        <v>50</v>
      </c>
      <c r="E7" s="1193">
        <f ca="1">'033-MUDPACK-단가산출'!J60/1000</f>
        <v>4</v>
      </c>
      <c r="F7" s="1194">
        <f ca="1">ROUNDDOWN((E7*D7),1)</f>
        <v>200</v>
      </c>
      <c r="G7" s="1193"/>
      <c r="H7" s="1193"/>
      <c r="I7" s="1193"/>
      <c r="J7" s="1193"/>
      <c r="K7" s="1193">
        <f t="shared" si="0"/>
        <v>4</v>
      </c>
      <c r="L7" s="1195">
        <f t="shared" si="1"/>
        <v>200</v>
      </c>
      <c r="M7" s="1189"/>
    </row>
    <row r="8" spans="1:13" s="1199" customFormat="1" ht="17.45" customHeight="1">
      <c r="A8" s="1760" t="s">
        <v>235</v>
      </c>
      <c r="B8" s="1122" t="s">
        <v>236</v>
      </c>
      <c r="C8" s="1122" t="s">
        <v>233</v>
      </c>
      <c r="D8" s="1197">
        <v>15</v>
      </c>
      <c r="E8" s="1198">
        <f ca="1">'033-MUDPACK-단가산출'!J62/1000</f>
        <v>10</v>
      </c>
      <c r="F8" s="1194">
        <f ca="1">ROUNDDOWN((E8*D8),1)</f>
        <v>150</v>
      </c>
      <c r="G8" s="1198"/>
      <c r="H8" s="1198"/>
      <c r="I8" s="1198"/>
      <c r="J8" s="1198"/>
      <c r="K8" s="1193">
        <f t="shared" si="0"/>
        <v>10</v>
      </c>
      <c r="L8" s="1195">
        <f t="shared" si="1"/>
        <v>150</v>
      </c>
      <c r="M8" s="1175"/>
    </row>
    <row r="9" spans="1:13" s="1199" customFormat="1" ht="17.45" customHeight="1">
      <c r="A9" s="1761"/>
      <c r="B9" s="1122" t="s">
        <v>237</v>
      </c>
      <c r="C9" s="1122" t="s">
        <v>233</v>
      </c>
      <c r="D9" s="1197">
        <v>30</v>
      </c>
      <c r="E9" s="1198">
        <f ca="1">'033-MUDPACK-단가산출'!J63/1000</f>
        <v>40</v>
      </c>
      <c r="F9" s="1194">
        <f ca="1">ROUNDDOWN((E9*D9),1)</f>
        <v>1200</v>
      </c>
      <c r="G9" s="1198"/>
      <c r="H9" s="1198"/>
      <c r="I9" s="1198"/>
      <c r="J9" s="1198"/>
      <c r="K9" s="1193">
        <f t="shared" si="0"/>
        <v>40</v>
      </c>
      <c r="L9" s="1195">
        <f t="shared" si="1"/>
        <v>1200</v>
      </c>
      <c r="M9" s="1175"/>
    </row>
    <row r="10" spans="1:13" s="1199" customFormat="1" ht="17.45" customHeight="1">
      <c r="A10" s="1196" t="s">
        <v>252</v>
      </c>
      <c r="B10" s="1122" t="s">
        <v>875</v>
      </c>
      <c r="C10" s="1122" t="s">
        <v>680</v>
      </c>
      <c r="D10" s="1200">
        <v>3.5999999999999997E-2</v>
      </c>
      <c r="E10" s="1198"/>
      <c r="F10" s="1194"/>
      <c r="G10" s="1198"/>
      <c r="H10" s="1198"/>
      <c r="I10" s="1198">
        <f ca="1">'033-MUDPACK-단가산출'!L3</f>
        <v>24973.312000000002</v>
      </c>
      <c r="J10" s="1201">
        <f t="shared" ref="J10:J15" si="2">ROUNDDOWN((I10*D10),1)</f>
        <v>899</v>
      </c>
      <c r="K10" s="1193">
        <f t="shared" si="0"/>
        <v>24973.312000000002</v>
      </c>
      <c r="L10" s="1195">
        <f t="shared" si="1"/>
        <v>899</v>
      </c>
      <c r="M10" s="1175"/>
    </row>
    <row r="11" spans="1:13" s="1199" customFormat="1" ht="17.45" customHeight="1">
      <c r="A11" s="1196" t="s">
        <v>38</v>
      </c>
      <c r="B11" s="1122" t="s">
        <v>1244</v>
      </c>
      <c r="C11" s="1122" t="s">
        <v>680</v>
      </c>
      <c r="D11" s="1200">
        <v>3.5999999999999997E-2</v>
      </c>
      <c r="E11" s="1198">
        <f ca="1">'033-MUDPACK-단가산출'!J7</f>
        <v>12135.880000000001</v>
      </c>
      <c r="F11" s="1194">
        <f ca="1">ROUNDDOWN((E11*D11),1)</f>
        <v>436.8</v>
      </c>
      <c r="G11" s="1198">
        <f ca="1">'033-MUDPACK-단가산출'!K10</f>
        <v>14915</v>
      </c>
      <c r="H11" s="1201">
        <f>ROUNDDOWN((G11*D11),1)</f>
        <v>536.9</v>
      </c>
      <c r="I11" s="1198">
        <f ca="1">'033-MUDPACK-단가산출'!L4</f>
        <v>3752</v>
      </c>
      <c r="J11" s="1201">
        <f t="shared" si="2"/>
        <v>135</v>
      </c>
      <c r="K11" s="1193">
        <f t="shared" si="0"/>
        <v>30802.880000000001</v>
      </c>
      <c r="L11" s="1195">
        <f t="shared" si="1"/>
        <v>1108.7</v>
      </c>
      <c r="M11" s="1175"/>
    </row>
    <row r="12" spans="1:13" s="1199" customFormat="1" ht="17.45" customHeight="1">
      <c r="A12" s="1196" t="s">
        <v>685</v>
      </c>
      <c r="B12" s="1202"/>
      <c r="C12" s="1202" t="s">
        <v>680</v>
      </c>
      <c r="D12" s="1200">
        <v>0.04</v>
      </c>
      <c r="E12" s="1203"/>
      <c r="F12" s="1204"/>
      <c r="G12" s="1205"/>
      <c r="H12" s="1204"/>
      <c r="I12" s="1198">
        <f ca="1">'033-MUDPACK-단가산출'!L18</f>
        <v>7417.8112000000001</v>
      </c>
      <c r="J12" s="1201">
        <f t="shared" si="2"/>
        <v>296.7</v>
      </c>
      <c r="K12" s="1193">
        <f t="shared" si="0"/>
        <v>7417.8112000000001</v>
      </c>
      <c r="L12" s="1195">
        <f t="shared" si="1"/>
        <v>296.7</v>
      </c>
      <c r="M12" s="1175"/>
    </row>
    <row r="13" spans="1:13" s="1199" customFormat="1" ht="17.45" customHeight="1">
      <c r="A13" s="1196" t="s">
        <v>2220</v>
      </c>
      <c r="B13" s="1122" t="s">
        <v>847</v>
      </c>
      <c r="C13" s="1122" t="s">
        <v>680</v>
      </c>
      <c r="D13" s="1200">
        <v>3.2000000000000001E-2</v>
      </c>
      <c r="E13" s="1198">
        <f ca="1">'033-MUDPACK-단가산출'!J22</f>
        <v>13600.6</v>
      </c>
      <c r="F13" s="1201">
        <f ca="1">ROUNDDOWN((E13*D13),1)</f>
        <v>435.2</v>
      </c>
      <c r="G13" s="1198">
        <f ca="1">'033-MUDPACK-단가산출'!K25</f>
        <v>17696</v>
      </c>
      <c r="H13" s="1201">
        <f t="shared" ref="H13:H18" si="3">ROUNDDOWN((G13*D13),1)</f>
        <v>566.20000000000005</v>
      </c>
      <c r="I13" s="1198">
        <f ca="1">'033-MUDPACK-단가산출'!L19</f>
        <v>7823</v>
      </c>
      <c r="J13" s="1201">
        <f t="shared" si="2"/>
        <v>250.3</v>
      </c>
      <c r="K13" s="1193">
        <f t="shared" si="0"/>
        <v>39119.599999999999</v>
      </c>
      <c r="L13" s="1201">
        <f t="shared" si="1"/>
        <v>1251.7</v>
      </c>
      <c r="M13" s="1175"/>
    </row>
    <row r="14" spans="1:13" s="1199" customFormat="1" ht="17.45" customHeight="1">
      <c r="A14" s="1196" t="s">
        <v>1642</v>
      </c>
      <c r="B14" s="1122" t="s">
        <v>1259</v>
      </c>
      <c r="C14" s="1122" t="s">
        <v>680</v>
      </c>
      <c r="D14" s="1200">
        <v>3.5999999999999997E-2</v>
      </c>
      <c r="E14" s="1198">
        <f ca="1">'033-MUDPACK-단가산출'!J29</f>
        <v>6884</v>
      </c>
      <c r="F14" s="1194">
        <f ca="1">ROUNDDOWN((E14*D14),1)</f>
        <v>247.8</v>
      </c>
      <c r="G14" s="1198">
        <f ca="1">'033-MUDPACK-단가산출'!K32</f>
        <v>17696</v>
      </c>
      <c r="H14" s="1201">
        <f t="shared" si="3"/>
        <v>637</v>
      </c>
      <c r="I14" s="1198">
        <f ca="1">'033-MUDPACK-단가산출'!L26</f>
        <v>10362</v>
      </c>
      <c r="J14" s="1201">
        <f t="shared" si="2"/>
        <v>373</v>
      </c>
      <c r="K14" s="1193">
        <f t="shared" si="0"/>
        <v>34942</v>
      </c>
      <c r="L14" s="1195">
        <f t="shared" si="1"/>
        <v>1257.8</v>
      </c>
      <c r="M14" s="1175"/>
    </row>
    <row r="15" spans="1:13" s="1199" customFormat="1" ht="17.45" customHeight="1">
      <c r="A15" s="1196" t="s">
        <v>836</v>
      </c>
      <c r="B15" s="1122" t="s">
        <v>241</v>
      </c>
      <c r="C15" s="1122" t="s">
        <v>680</v>
      </c>
      <c r="D15" s="1200">
        <v>2.8000000000000001E-2</v>
      </c>
      <c r="E15" s="1198">
        <f ca="1">'033-MUDPACK-단가산출'!J36</f>
        <v>12419</v>
      </c>
      <c r="F15" s="1201">
        <f ca="1">ROUNDDOWN((E15*D15),1)</f>
        <v>347.7</v>
      </c>
      <c r="G15" s="1198">
        <f ca="1">'033-MUDPACK-단가산출'!K39</f>
        <v>17696</v>
      </c>
      <c r="H15" s="1201">
        <f t="shared" si="3"/>
        <v>495.4</v>
      </c>
      <c r="I15" s="1198">
        <f ca="1">'033-MUDPACK-단가산출'!L33</f>
        <v>6117</v>
      </c>
      <c r="J15" s="1201">
        <f t="shared" si="2"/>
        <v>171.2</v>
      </c>
      <c r="K15" s="1193">
        <f t="shared" si="0"/>
        <v>36232</v>
      </c>
      <c r="L15" s="1195">
        <f t="shared" si="1"/>
        <v>1014.3</v>
      </c>
      <c r="M15" s="1175"/>
    </row>
    <row r="16" spans="1:13" s="1199" customFormat="1" ht="17.45" customHeight="1">
      <c r="A16" s="1196" t="s">
        <v>837</v>
      </c>
      <c r="B16" s="1122"/>
      <c r="C16" s="1122" t="s">
        <v>1221</v>
      </c>
      <c r="D16" s="1200">
        <v>3.0000000000000001E-3</v>
      </c>
      <c r="E16" s="1198"/>
      <c r="F16" s="1198"/>
      <c r="G16" s="1198">
        <f ca="1">'033-MUDPACK-단가산출'!E75</f>
        <v>92218</v>
      </c>
      <c r="H16" s="1201">
        <f t="shared" si="3"/>
        <v>276.60000000000002</v>
      </c>
      <c r="I16" s="1198"/>
      <c r="J16" s="1198"/>
      <c r="K16" s="1193">
        <f t="shared" si="0"/>
        <v>92218</v>
      </c>
      <c r="L16" s="1195">
        <f t="shared" si="1"/>
        <v>276.60000000000002</v>
      </c>
      <c r="M16" s="1175"/>
    </row>
    <row r="17" spans="1:13" s="1199" customFormat="1" ht="17.45" customHeight="1">
      <c r="A17" s="1196" t="s">
        <v>1422</v>
      </c>
      <c r="B17" s="1122"/>
      <c r="C17" s="1122" t="s">
        <v>1221</v>
      </c>
      <c r="D17" s="1200">
        <v>2.1999999999999999E-2</v>
      </c>
      <c r="E17" s="1198"/>
      <c r="F17" s="1198"/>
      <c r="G17" s="1198">
        <f ca="1">'033-MUDPACK-단가산출'!E72</f>
        <v>84404</v>
      </c>
      <c r="H17" s="1201">
        <f t="shared" si="3"/>
        <v>1856.8</v>
      </c>
      <c r="I17" s="1198"/>
      <c r="J17" s="1198"/>
      <c r="K17" s="1193">
        <f t="shared" si="0"/>
        <v>84404</v>
      </c>
      <c r="L17" s="1195">
        <f t="shared" si="1"/>
        <v>1856.8</v>
      </c>
      <c r="M17" s="1175"/>
    </row>
    <row r="18" spans="1:13" s="1199" customFormat="1" ht="17.45" customHeight="1">
      <c r="A18" s="1196" t="s">
        <v>839</v>
      </c>
      <c r="B18" s="1122"/>
      <c r="C18" s="1122" t="s">
        <v>1221</v>
      </c>
      <c r="D18" s="1200">
        <v>0.03</v>
      </c>
      <c r="E18" s="1198"/>
      <c r="F18" s="1198"/>
      <c r="G18" s="1198">
        <f ca="1">'033-MUDPACK-단가산출'!E73</f>
        <v>68965</v>
      </c>
      <c r="H18" s="1201">
        <f t="shared" si="3"/>
        <v>2068.9</v>
      </c>
      <c r="I18" s="1198"/>
      <c r="J18" s="1198"/>
      <c r="K18" s="1193">
        <f t="shared" si="0"/>
        <v>68965</v>
      </c>
      <c r="L18" s="1195">
        <f t="shared" si="1"/>
        <v>2068.9</v>
      </c>
      <c r="M18" s="1175"/>
    </row>
    <row r="19" spans="1:13" s="1199" customFormat="1" ht="17.45" customHeight="1">
      <c r="A19" s="1196"/>
      <c r="B19" s="1122"/>
      <c r="C19" s="1122"/>
      <c r="D19" s="1200"/>
      <c r="E19" s="1198"/>
      <c r="F19" s="1198"/>
      <c r="G19" s="1198"/>
      <c r="H19" s="1198"/>
      <c r="I19" s="1198"/>
      <c r="J19" s="1198"/>
      <c r="K19" s="1193"/>
      <c r="L19" s="1206"/>
      <c r="M19" s="1175"/>
    </row>
    <row r="20" spans="1:13" s="1199" customFormat="1" ht="17.45" customHeight="1">
      <c r="A20" s="1196"/>
      <c r="B20" s="1122"/>
      <c r="C20" s="1122"/>
      <c r="D20" s="1200"/>
      <c r="E20" s="1198"/>
      <c r="F20" s="1198"/>
      <c r="G20" s="1198"/>
      <c r="H20" s="1198"/>
      <c r="I20" s="1198"/>
      <c r="J20" s="1198"/>
      <c r="K20" s="1193"/>
      <c r="L20" s="1206"/>
      <c r="M20" s="1175"/>
    </row>
    <row r="21" spans="1:13" s="1199" customFormat="1" ht="17.45" customHeight="1">
      <c r="A21" s="1207"/>
      <c r="B21" s="1122"/>
      <c r="C21" s="1135"/>
      <c r="D21" s="1197"/>
      <c r="E21" s="1198"/>
      <c r="F21" s="1198"/>
      <c r="G21" s="1198"/>
      <c r="H21" s="1198"/>
      <c r="I21" s="1198"/>
      <c r="J21" s="1208"/>
      <c r="K21" s="1193"/>
      <c r="L21" s="1206"/>
      <c r="M21" s="1175"/>
    </row>
    <row r="22" spans="1:13" s="1199" customFormat="1" ht="17.45" customHeight="1">
      <c r="A22" s="1209" t="s">
        <v>242</v>
      </c>
      <c r="B22" s="1210"/>
      <c r="C22" s="1211"/>
      <c r="D22" s="1212"/>
      <c r="E22" s="1213"/>
      <c r="F22" s="1214">
        <f>INT(SUM(F5:F21))</f>
        <v>6497</v>
      </c>
      <c r="G22" s="1214"/>
      <c r="H22" s="1214">
        <f>INT(SUM(H5:H21))</f>
        <v>6437</v>
      </c>
      <c r="I22" s="1214"/>
      <c r="J22" s="1214">
        <f>INT(SUM(J5:J21))</f>
        <v>2125</v>
      </c>
      <c r="K22" s="1185"/>
      <c r="L22" s="1215"/>
      <c r="M22" s="1175"/>
    </row>
    <row r="23" spans="1:13" s="1199" customFormat="1" ht="17.45" customHeight="1">
      <c r="A23" s="1196" t="s">
        <v>666</v>
      </c>
      <c r="B23" s="1210" t="s">
        <v>243</v>
      </c>
      <c r="C23" s="1211"/>
      <c r="D23" s="1212"/>
      <c r="E23" s="1213"/>
      <c r="F23" s="1216">
        <f>SUM(F5:F9)*0.03</f>
        <v>150.9</v>
      </c>
      <c r="G23" s="1213"/>
      <c r="H23" s="1213"/>
      <c r="I23" s="1213"/>
      <c r="J23" s="1213"/>
      <c r="K23" s="1185"/>
      <c r="L23" s="1217">
        <f>F23+H23+J23</f>
        <v>150.9</v>
      </c>
      <c r="M23" s="1175"/>
    </row>
    <row r="24" spans="1:13" s="1199" customFormat="1" ht="17.45" customHeight="1">
      <c r="A24" s="1196" t="s">
        <v>244</v>
      </c>
      <c r="B24" s="1210" t="s">
        <v>245</v>
      </c>
      <c r="C24" s="1211"/>
      <c r="D24" s="1212"/>
      <c r="E24" s="1213"/>
      <c r="F24" s="1216">
        <f>SUM(H16:H18)*0.025</f>
        <v>105.0575</v>
      </c>
      <c r="G24" s="1213"/>
      <c r="H24" s="1218"/>
      <c r="I24" s="1213"/>
      <c r="J24" s="1213"/>
      <c r="K24" s="1185"/>
      <c r="L24" s="1217">
        <f>F24+H24+J24</f>
        <v>105.0575</v>
      </c>
      <c r="M24" s="1175"/>
    </row>
    <row r="25" spans="1:13" s="1199" customFormat="1" ht="17.45" customHeight="1">
      <c r="A25" s="1219"/>
      <c r="B25" s="1220"/>
      <c r="C25" s="1221"/>
      <c r="D25" s="1222"/>
      <c r="E25" s="1223"/>
      <c r="F25" s="1223"/>
      <c r="G25" s="1223"/>
      <c r="H25" s="1223"/>
      <c r="I25" s="1223"/>
      <c r="J25" s="1223"/>
      <c r="K25" s="1223"/>
      <c r="L25" s="1224"/>
      <c r="M25" s="1178"/>
    </row>
    <row r="26" spans="1:13" s="976" customFormat="1" ht="24.75" customHeight="1" thickBot="1">
      <c r="A26" s="1149" t="s">
        <v>246</v>
      </c>
      <c r="B26" s="1150"/>
      <c r="C26" s="1151"/>
      <c r="D26" s="1152"/>
      <c r="E26" s="1153"/>
      <c r="F26" s="1153">
        <f>SUM(F22:F25)</f>
        <v>6752.9574999999995</v>
      </c>
      <c r="G26" s="1153"/>
      <c r="H26" s="1153">
        <f>SUM(H22:H25)</f>
        <v>6437</v>
      </c>
      <c r="I26" s="1153"/>
      <c r="J26" s="1153">
        <f>SUM(J22:J25)</f>
        <v>2125</v>
      </c>
      <c r="K26" s="1153"/>
      <c r="L26" s="1225">
        <f>F26+H26+J26</f>
        <v>15314.9575</v>
      </c>
      <c r="M26" s="1155"/>
    </row>
    <row r="27" spans="1:13" s="1199" customFormat="1" ht="15" customHeight="1">
      <c r="C27" s="1226"/>
      <c r="D27" s="1227"/>
      <c r="E27" s="1228"/>
      <c r="F27" s="1228"/>
      <c r="G27" s="1228"/>
      <c r="H27" s="1228"/>
      <c r="I27" s="1228"/>
      <c r="J27" s="1228"/>
      <c r="K27" s="1228"/>
      <c r="L27" s="1228"/>
      <c r="M27" s="1228"/>
    </row>
    <row r="28" spans="1:13" s="1199" customFormat="1" ht="15" customHeight="1">
      <c r="C28" s="1226"/>
      <c r="D28" s="1227"/>
      <c r="E28" s="1228"/>
      <c r="F28" s="1228"/>
      <c r="G28" s="1228"/>
      <c r="H28" s="1228"/>
      <c r="I28" s="1228"/>
      <c r="J28" s="1228"/>
      <c r="K28" s="1228"/>
      <c r="L28" s="1228"/>
      <c r="M28" s="1228"/>
    </row>
  </sheetData>
  <mergeCells count="11">
    <mergeCell ref="K3:L3"/>
    <mergeCell ref="M3:M4"/>
    <mergeCell ref="A8:A9"/>
    <mergeCell ref="A1:M1"/>
    <mergeCell ref="E3:F3"/>
    <mergeCell ref="G3:H3"/>
    <mergeCell ref="I3:J3"/>
    <mergeCell ref="A3:A4"/>
    <mergeCell ref="B3:B4"/>
    <mergeCell ref="C3:C4"/>
    <mergeCell ref="D3:D4"/>
  </mergeCells>
  <phoneticPr fontId="3" type="noConversion"/>
  <pageMargins left="0.48" right="0.48" top="0.62" bottom="0.48" header="0.5" footer="0.5"/>
  <pageSetup paperSize="9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 enableFormatConditionsCalculation="0">
    <tabColor indexed="41"/>
  </sheetPr>
  <dimension ref="A1:N41"/>
  <sheetViews>
    <sheetView zoomScale="120" workbookViewId="0">
      <pane xSplit="4" ySplit="4" topLeftCell="G17" activePane="bottomRight" state="frozen"/>
      <selection sqref="A1:IV65536"/>
      <selection pane="topRight" sqref="A1:IV65536"/>
      <selection pane="bottomLeft" sqref="A1:IV65536"/>
      <selection pane="bottomRight" sqref="A1:IV65536"/>
    </sheetView>
  </sheetViews>
  <sheetFormatPr defaultRowHeight="15" customHeight="1"/>
  <cols>
    <col min="1" max="1" width="20.77734375" style="1098" customWidth="1"/>
    <col min="2" max="2" width="14.77734375" style="1098" customWidth="1"/>
    <col min="3" max="3" width="4.88671875" style="1158" customWidth="1"/>
    <col min="4" max="4" width="6.77734375" style="1159" customWidth="1"/>
    <col min="5" max="10" width="8" style="1160" customWidth="1"/>
    <col min="11" max="11" width="7.88671875" style="1160" customWidth="1"/>
    <col min="12" max="12" width="8.77734375" style="1160" customWidth="1"/>
    <col min="13" max="13" width="4.88671875" style="1160" customWidth="1"/>
    <col min="14" max="16384" width="8.88671875" style="1098"/>
  </cols>
  <sheetData>
    <row r="1" spans="1:14" ht="19.5" customHeight="1">
      <c r="A1" s="1749" t="s">
        <v>227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</row>
    <row r="2" spans="1:14" ht="14.25" customHeight="1" thickBot="1">
      <c r="A2" s="1099" t="s">
        <v>253</v>
      </c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</row>
    <row r="3" spans="1:14" s="1101" customFormat="1" ht="14.25" customHeight="1">
      <c r="A3" s="1765" t="s">
        <v>228</v>
      </c>
      <c r="B3" s="1767" t="s">
        <v>95</v>
      </c>
      <c r="C3" s="1767" t="s">
        <v>288</v>
      </c>
      <c r="D3" s="1763" t="s">
        <v>691</v>
      </c>
      <c r="E3" s="1763" t="s">
        <v>2205</v>
      </c>
      <c r="F3" s="1763"/>
      <c r="G3" s="1763" t="s">
        <v>2206</v>
      </c>
      <c r="H3" s="1763"/>
      <c r="I3" s="1763" t="s">
        <v>229</v>
      </c>
      <c r="J3" s="1763"/>
      <c r="K3" s="1763" t="s">
        <v>148</v>
      </c>
      <c r="L3" s="1763"/>
      <c r="M3" s="1770" t="s">
        <v>230</v>
      </c>
    </row>
    <row r="4" spans="1:14" s="1101" customFormat="1" ht="14.25" customHeight="1" thickBot="1">
      <c r="A4" s="1766"/>
      <c r="B4" s="1768"/>
      <c r="C4" s="1768"/>
      <c r="D4" s="1769"/>
      <c r="E4" s="1102" t="s">
        <v>1405</v>
      </c>
      <c r="F4" s="1102" t="s">
        <v>830</v>
      </c>
      <c r="G4" s="1102" t="s">
        <v>1405</v>
      </c>
      <c r="H4" s="1102" t="s">
        <v>830</v>
      </c>
      <c r="I4" s="1102" t="s">
        <v>1405</v>
      </c>
      <c r="J4" s="1102" t="s">
        <v>830</v>
      </c>
      <c r="K4" s="1102" t="s">
        <v>1405</v>
      </c>
      <c r="L4" s="1102" t="s">
        <v>830</v>
      </c>
      <c r="M4" s="1771"/>
    </row>
    <row r="5" spans="1:14" s="1109" customFormat="1" ht="12.4" customHeight="1">
      <c r="A5" s="1103" t="s">
        <v>254</v>
      </c>
      <c r="B5" s="1104"/>
      <c r="C5" s="1105"/>
      <c r="D5" s="1106"/>
      <c r="E5" s="1107"/>
      <c r="F5" s="1107"/>
      <c r="G5" s="1107"/>
      <c r="H5" s="1107"/>
      <c r="I5" s="1107"/>
      <c r="J5" s="1107"/>
      <c r="K5" s="1107"/>
      <c r="L5" s="1107"/>
      <c r="M5" s="1108"/>
    </row>
    <row r="6" spans="1:14" s="1109" customFormat="1" ht="12.4" customHeight="1">
      <c r="A6" s="1110" t="s">
        <v>255</v>
      </c>
      <c r="B6" s="1111" t="s">
        <v>1244</v>
      </c>
      <c r="C6" s="1112" t="s">
        <v>680</v>
      </c>
      <c r="D6" s="1113">
        <v>1.9E-2</v>
      </c>
      <c r="E6" s="1114">
        <f ca="1">'033-MUDPACK-단가산출'!J7</f>
        <v>12135.880000000001</v>
      </c>
      <c r="F6" s="1115">
        <f ca="1">ROUNDDOWN((E6*D6),1)</f>
        <v>230.5</v>
      </c>
      <c r="G6" s="1114">
        <f ca="1">'033-MUDPACK-단가산출'!K10</f>
        <v>14915</v>
      </c>
      <c r="H6" s="1115">
        <f ca="1">ROUNDDOWN((G6*D6),1)</f>
        <v>283.3</v>
      </c>
      <c r="I6" s="1114">
        <f ca="1">'033-MUDPACK-단가산출'!L4</f>
        <v>3752</v>
      </c>
      <c r="J6" s="1115">
        <f>ROUNDDOWN((I6*D6),1)</f>
        <v>71.2</v>
      </c>
      <c r="K6" s="1114">
        <f t="shared" ref="K6:L8" si="0">E6+G6+I6</f>
        <v>30802.880000000001</v>
      </c>
      <c r="L6" s="1114">
        <f t="shared" si="0"/>
        <v>585</v>
      </c>
      <c r="M6" s="1116"/>
    </row>
    <row r="7" spans="1:14" s="1109" customFormat="1" ht="12.4" customHeight="1">
      <c r="A7" s="1117" t="s">
        <v>256</v>
      </c>
      <c r="B7" s="1111"/>
      <c r="C7" s="1112" t="s">
        <v>1221</v>
      </c>
      <c r="D7" s="1118">
        <v>1.2E-2</v>
      </c>
      <c r="E7" s="1114"/>
      <c r="F7" s="1114"/>
      <c r="G7" s="1114">
        <f ca="1">'033-MUDPACK-단가산출'!E74</f>
        <v>79533</v>
      </c>
      <c r="H7" s="1115">
        <f ca="1">ROUNDDOWN((G7*D7),1)</f>
        <v>954.3</v>
      </c>
      <c r="I7" s="1114"/>
      <c r="J7" s="1114"/>
      <c r="K7" s="1114">
        <f t="shared" si="0"/>
        <v>79533</v>
      </c>
      <c r="L7" s="1114">
        <f t="shared" si="0"/>
        <v>954.3</v>
      </c>
      <c r="M7" s="1119"/>
    </row>
    <row r="8" spans="1:14" s="1109" customFormat="1" ht="12.4" customHeight="1">
      <c r="A8" s="1117" t="s">
        <v>257</v>
      </c>
      <c r="B8" s="1111"/>
      <c r="C8" s="1112" t="s">
        <v>1221</v>
      </c>
      <c r="D8" s="1118">
        <v>1.2E-2</v>
      </c>
      <c r="E8" s="1114"/>
      <c r="F8" s="1114"/>
      <c r="G8" s="1114">
        <f ca="1">'033-MUDPACK-단가산출'!E73</f>
        <v>68965</v>
      </c>
      <c r="H8" s="1115">
        <f ca="1">ROUNDDOWN((G8*D8),1)</f>
        <v>827.5</v>
      </c>
      <c r="I8" s="1114"/>
      <c r="J8" s="1114"/>
      <c r="K8" s="1114">
        <f t="shared" si="0"/>
        <v>68965</v>
      </c>
      <c r="L8" s="1114">
        <f t="shared" si="0"/>
        <v>827.5</v>
      </c>
      <c r="M8" s="1119"/>
    </row>
    <row r="9" spans="1:14" s="1109" customFormat="1" ht="12.4" customHeight="1">
      <c r="A9" s="1120" t="s">
        <v>2141</v>
      </c>
      <c r="B9" s="1121"/>
      <c r="C9" s="1122"/>
      <c r="D9" s="1118"/>
      <c r="E9" s="1114"/>
      <c r="F9" s="1123">
        <f ca="1">INT(SUM(F6:F8))</f>
        <v>230</v>
      </c>
      <c r="G9" s="1124"/>
      <c r="H9" s="1124">
        <f ca="1">INT(SUM(H6:H8))</f>
        <v>2065</v>
      </c>
      <c r="I9" s="1124"/>
      <c r="J9" s="1124">
        <f>INT(SUM(J6:J8))</f>
        <v>71</v>
      </c>
      <c r="K9" s="1124"/>
      <c r="L9" s="1124">
        <f>F9+H9+J9</f>
        <v>2366</v>
      </c>
      <c r="M9" s="1125"/>
      <c r="N9" s="1126"/>
    </row>
    <row r="10" spans="1:14" s="1132" customFormat="1" ht="12.4" customHeight="1">
      <c r="A10" s="1110" t="s">
        <v>2142</v>
      </c>
      <c r="B10" s="1127"/>
      <c r="C10" s="1128"/>
      <c r="D10" s="1129"/>
      <c r="E10" s="1130"/>
      <c r="F10" s="1130"/>
      <c r="G10" s="1130"/>
      <c r="H10" s="1130"/>
      <c r="I10" s="1130"/>
      <c r="J10" s="1130"/>
      <c r="K10" s="1130"/>
      <c r="L10" s="1130"/>
      <c r="M10" s="1131"/>
    </row>
    <row r="11" spans="1:14" s="1109" customFormat="1" ht="12.4" customHeight="1">
      <c r="A11" s="1110" t="s">
        <v>260</v>
      </c>
      <c r="B11" s="1111" t="s">
        <v>261</v>
      </c>
      <c r="C11" s="1112" t="s">
        <v>1167</v>
      </c>
      <c r="D11" s="1118">
        <v>0.23</v>
      </c>
      <c r="E11" s="1114">
        <f ca="1">'033-MUDPACK-단가산출'!J65</f>
        <v>700</v>
      </c>
      <c r="F11" s="1115">
        <f ca="1">ROUNDDOWN((E11*D11),1)</f>
        <v>161</v>
      </c>
      <c r="G11" s="1114"/>
      <c r="H11" s="1114"/>
      <c r="I11" s="1114"/>
      <c r="J11" s="1114"/>
      <c r="K11" s="1114">
        <f t="shared" ref="K11:L14" si="1">E11+G11+I11</f>
        <v>700</v>
      </c>
      <c r="L11" s="1114">
        <f t="shared" si="1"/>
        <v>161</v>
      </c>
      <c r="M11" s="1119"/>
      <c r="N11" s="1126"/>
    </row>
    <row r="12" spans="1:14" s="1109" customFormat="1" ht="12.4" customHeight="1">
      <c r="A12" s="1110" t="s">
        <v>887</v>
      </c>
      <c r="B12" s="1111" t="s">
        <v>262</v>
      </c>
      <c r="C12" s="1112" t="s">
        <v>1167</v>
      </c>
      <c r="D12" s="1133">
        <v>0.5</v>
      </c>
      <c r="E12" s="1114">
        <f ca="1">'033-MUDPACK-단가산출'!J66</f>
        <v>600</v>
      </c>
      <c r="F12" s="1115">
        <f ca="1">ROUNDDOWN((E12*D12),1)</f>
        <v>300</v>
      </c>
      <c r="G12" s="1114"/>
      <c r="H12" s="1114"/>
      <c r="I12" s="1114"/>
      <c r="J12" s="1114"/>
      <c r="K12" s="1114">
        <f t="shared" si="1"/>
        <v>600</v>
      </c>
      <c r="L12" s="1114">
        <f t="shared" si="1"/>
        <v>300</v>
      </c>
      <c r="M12" s="1119"/>
    </row>
    <row r="13" spans="1:14" s="1109" customFormat="1" ht="12.4" customHeight="1">
      <c r="A13" s="1110" t="s">
        <v>263</v>
      </c>
      <c r="B13" s="1111"/>
      <c r="C13" s="1112" t="s">
        <v>1221</v>
      </c>
      <c r="D13" s="1118">
        <v>6.0000000000000001E-3</v>
      </c>
      <c r="E13" s="1114"/>
      <c r="F13" s="1114"/>
      <c r="G13" s="1114">
        <f ca="1">'033-MUDPACK-단가산출'!E72</f>
        <v>84404</v>
      </c>
      <c r="H13" s="1115">
        <f ca="1">ROUNDDOWN((G13*D13),1)</f>
        <v>506.4</v>
      </c>
      <c r="I13" s="1114"/>
      <c r="J13" s="1114"/>
      <c r="K13" s="1114">
        <f t="shared" si="1"/>
        <v>84404</v>
      </c>
      <c r="L13" s="1114">
        <f t="shared" si="1"/>
        <v>506.4</v>
      </c>
      <c r="M13" s="1119"/>
    </row>
    <row r="14" spans="1:14" s="1109" customFormat="1" ht="12.4" customHeight="1">
      <c r="A14" s="1110" t="s">
        <v>257</v>
      </c>
      <c r="B14" s="1111"/>
      <c r="C14" s="1112" t="s">
        <v>1221</v>
      </c>
      <c r="D14" s="1118">
        <v>6.0000000000000001E-3</v>
      </c>
      <c r="E14" s="1114"/>
      <c r="F14" s="1114"/>
      <c r="G14" s="1114">
        <f ca="1">'033-MUDPACK-단가산출'!E73</f>
        <v>68965</v>
      </c>
      <c r="H14" s="1115">
        <f ca="1">ROUNDDOWN((G14*D14),1)</f>
        <v>413.7</v>
      </c>
      <c r="I14" s="1114"/>
      <c r="J14" s="1114"/>
      <c r="K14" s="1114">
        <f t="shared" si="1"/>
        <v>68965</v>
      </c>
      <c r="L14" s="1114">
        <f t="shared" si="1"/>
        <v>413.7</v>
      </c>
      <c r="M14" s="1119"/>
    </row>
    <row r="15" spans="1:14" s="1109" customFormat="1" ht="12.4" customHeight="1">
      <c r="A15" s="1120" t="s">
        <v>258</v>
      </c>
      <c r="B15" s="1121"/>
      <c r="C15" s="1122"/>
      <c r="D15" s="1118"/>
      <c r="E15" s="1114"/>
      <c r="F15" s="1124">
        <f ca="1">INT(SUM(F11:F14))</f>
        <v>461</v>
      </c>
      <c r="G15" s="1124"/>
      <c r="H15" s="1124">
        <f ca="1">INT(SUM(H13:H14))</f>
        <v>920</v>
      </c>
      <c r="I15" s="1124"/>
      <c r="J15" s="1124"/>
      <c r="K15" s="1124"/>
      <c r="L15" s="1124">
        <f>F15+H15+J15</f>
        <v>1381</v>
      </c>
      <c r="M15" s="1125"/>
      <c r="N15" s="1126"/>
    </row>
    <row r="16" spans="1:14" s="1109" customFormat="1" ht="12.4" customHeight="1">
      <c r="A16" s="1110" t="s">
        <v>1708</v>
      </c>
      <c r="B16" s="1121"/>
      <c r="C16" s="1122"/>
      <c r="D16" s="1118"/>
      <c r="E16" s="1114"/>
      <c r="F16" s="1114"/>
      <c r="G16" s="1114"/>
      <c r="H16" s="1114"/>
      <c r="I16" s="1114"/>
      <c r="J16" s="1114"/>
      <c r="K16" s="1114"/>
      <c r="L16" s="1114"/>
      <c r="M16" s="1125"/>
      <c r="N16" s="1126"/>
    </row>
    <row r="17" spans="1:14" s="1109" customFormat="1" ht="12.4" customHeight="1">
      <c r="A17" s="1110" t="s">
        <v>1559</v>
      </c>
      <c r="B17" s="1111" t="s">
        <v>1709</v>
      </c>
      <c r="C17" s="1112" t="s">
        <v>716</v>
      </c>
      <c r="D17" s="1133">
        <v>1.3</v>
      </c>
      <c r="E17" s="1114">
        <f ca="1">'033-MUDPACK-단가산출'!J67</f>
        <v>3500</v>
      </c>
      <c r="F17" s="1115">
        <f ca="1">ROUNDDOWN((E17*D17),1)</f>
        <v>4550</v>
      </c>
      <c r="G17" s="1114"/>
      <c r="H17" s="1114"/>
      <c r="I17" s="1114"/>
      <c r="J17" s="1114"/>
      <c r="K17" s="1114">
        <f t="shared" ref="K17:L21" si="2">E17+G17+I17</f>
        <v>3500</v>
      </c>
      <c r="L17" s="1114">
        <f t="shared" si="2"/>
        <v>4550</v>
      </c>
      <c r="M17" s="1119"/>
    </row>
    <row r="18" spans="1:14" s="1109" customFormat="1" ht="12.4" customHeight="1">
      <c r="A18" s="1110" t="s">
        <v>1710</v>
      </c>
      <c r="B18" s="1111" t="s">
        <v>1711</v>
      </c>
      <c r="C18" s="1112" t="s">
        <v>234</v>
      </c>
      <c r="D18" s="1133">
        <v>1.3</v>
      </c>
      <c r="E18" s="1114">
        <f ca="1">'033-MUDPACK-단가산출'!J68</f>
        <v>300</v>
      </c>
      <c r="F18" s="1115">
        <f ca="1">ROUNDDOWN((E18*D18),1)</f>
        <v>390</v>
      </c>
      <c r="G18" s="1114"/>
      <c r="H18" s="1114"/>
      <c r="I18" s="1114"/>
      <c r="J18" s="1114"/>
      <c r="K18" s="1114">
        <f t="shared" si="2"/>
        <v>300</v>
      </c>
      <c r="L18" s="1114">
        <f t="shared" si="2"/>
        <v>390</v>
      </c>
      <c r="M18" s="1119"/>
    </row>
    <row r="19" spans="1:14" s="1109" customFormat="1" ht="12.4" customHeight="1">
      <c r="A19" s="1110" t="s">
        <v>1712</v>
      </c>
      <c r="B19" s="1111"/>
      <c r="C19" s="1112" t="s">
        <v>1221</v>
      </c>
      <c r="D19" s="1118">
        <v>5.0000000000000001E-3</v>
      </c>
      <c r="E19" s="1114"/>
      <c r="F19" s="1114"/>
      <c r="G19" s="1114">
        <f ca="1">'033-MUDPACK-단가산출'!E75</f>
        <v>92218</v>
      </c>
      <c r="H19" s="1114">
        <f ca="1">ROUNDDOWN((G19*D19),1)</f>
        <v>461</v>
      </c>
      <c r="I19" s="1114"/>
      <c r="J19" s="1114"/>
      <c r="K19" s="1114">
        <f t="shared" si="2"/>
        <v>92218</v>
      </c>
      <c r="L19" s="1114">
        <f t="shared" si="2"/>
        <v>461</v>
      </c>
      <c r="M19" s="1119"/>
    </row>
    <row r="20" spans="1:14" s="1109" customFormat="1" ht="12.4" customHeight="1">
      <c r="A20" s="1110" t="s">
        <v>263</v>
      </c>
      <c r="B20" s="1111"/>
      <c r="C20" s="1112" t="s">
        <v>1221</v>
      </c>
      <c r="D20" s="1134">
        <v>0.02</v>
      </c>
      <c r="E20" s="1114"/>
      <c r="F20" s="1114"/>
      <c r="G20" s="1114">
        <f ca="1">'033-MUDPACK-단가산출'!E72</f>
        <v>84404</v>
      </c>
      <c r="H20" s="1114">
        <f ca="1">ROUNDDOWN((G20*D20),1)</f>
        <v>1688</v>
      </c>
      <c r="I20" s="1114"/>
      <c r="J20" s="1114"/>
      <c r="K20" s="1114">
        <f t="shared" si="2"/>
        <v>84404</v>
      </c>
      <c r="L20" s="1114">
        <f t="shared" si="2"/>
        <v>1688</v>
      </c>
      <c r="M20" s="1119"/>
    </row>
    <row r="21" spans="1:14" s="1109" customFormat="1" ht="12.4" customHeight="1">
      <c r="A21" s="1110" t="s">
        <v>257</v>
      </c>
      <c r="B21" s="1111"/>
      <c r="C21" s="1112" t="s">
        <v>1221</v>
      </c>
      <c r="D21" s="1134">
        <v>0.02</v>
      </c>
      <c r="E21" s="1114"/>
      <c r="F21" s="1114"/>
      <c r="G21" s="1114">
        <f ca="1">'033-MUDPACK-단가산출'!E73</f>
        <v>68965</v>
      </c>
      <c r="H21" s="1114">
        <f ca="1">ROUNDDOWN((G21*D21),1)</f>
        <v>1379.3</v>
      </c>
      <c r="I21" s="1114"/>
      <c r="J21" s="1114"/>
      <c r="K21" s="1114">
        <f t="shared" si="2"/>
        <v>68965</v>
      </c>
      <c r="L21" s="1114">
        <f t="shared" si="2"/>
        <v>1379.3</v>
      </c>
      <c r="M21" s="1119"/>
    </row>
    <row r="22" spans="1:14" s="1109" customFormat="1" ht="12.4" customHeight="1">
      <c r="A22" s="1120" t="s">
        <v>258</v>
      </c>
      <c r="B22" s="1121"/>
      <c r="C22" s="1135"/>
      <c r="D22" s="1118"/>
      <c r="E22" s="1114"/>
      <c r="F22" s="1124">
        <f ca="1">INT(SUM(F17:F21))</f>
        <v>4940</v>
      </c>
      <c r="G22" s="1124"/>
      <c r="H22" s="1124">
        <f ca="1">INT(SUM(H17:H21))</f>
        <v>3528</v>
      </c>
      <c r="I22" s="1124"/>
      <c r="J22" s="1124"/>
      <c r="K22" s="1124"/>
      <c r="L22" s="1124">
        <f>F22+H22+J22</f>
        <v>8468</v>
      </c>
      <c r="M22" s="1125"/>
      <c r="N22" s="1126"/>
    </row>
    <row r="23" spans="1:14" s="1109" customFormat="1" ht="12.4" customHeight="1">
      <c r="A23" s="1110" t="s">
        <v>1713</v>
      </c>
      <c r="B23" s="1121"/>
      <c r="C23" s="1135"/>
      <c r="D23" s="1118"/>
      <c r="E23" s="1114"/>
      <c r="F23" s="1114"/>
      <c r="G23" s="1114"/>
      <c r="H23" s="1114"/>
      <c r="I23" s="1114"/>
      <c r="J23" s="1114"/>
      <c r="K23" s="1114"/>
      <c r="L23" s="1114"/>
      <c r="M23" s="1125"/>
      <c r="N23" s="1126"/>
    </row>
    <row r="24" spans="1:14" s="1109" customFormat="1" ht="12.4" customHeight="1">
      <c r="A24" s="1110" t="s">
        <v>865</v>
      </c>
      <c r="B24" s="1111" t="s">
        <v>1714</v>
      </c>
      <c r="C24" s="1112" t="s">
        <v>680</v>
      </c>
      <c r="D24" s="1134">
        <v>0.06</v>
      </c>
      <c r="E24" s="1114"/>
      <c r="F24" s="1114"/>
      <c r="G24" s="1114"/>
      <c r="H24" s="1114"/>
      <c r="I24" s="1114">
        <f ca="1">'033-MUDPACK-단가산출'!L3</f>
        <v>24973.312000000002</v>
      </c>
      <c r="J24" s="1115">
        <f>ROUNDDOWN((I24*D24),1)</f>
        <v>1498.3</v>
      </c>
      <c r="K24" s="1114">
        <f t="shared" ref="K24:K37" si="3">E24+G24+I24</f>
        <v>24973.312000000002</v>
      </c>
      <c r="L24" s="1114">
        <f t="shared" ref="L24:L37" si="4">F24+H24+J24</f>
        <v>1498.3</v>
      </c>
      <c r="M24" s="1119"/>
    </row>
    <row r="25" spans="1:14" s="1109" customFormat="1" ht="12.4" customHeight="1">
      <c r="A25" s="1110" t="s">
        <v>1715</v>
      </c>
      <c r="B25" s="1111" t="s">
        <v>1716</v>
      </c>
      <c r="C25" s="1112" t="s">
        <v>225</v>
      </c>
      <c r="D25" s="1118">
        <v>8.4000000000000005E-2</v>
      </c>
      <c r="E25" s="1114">
        <f ca="1">'033-MUDPACK-단가산출'!J57</f>
        <v>60000</v>
      </c>
      <c r="F25" s="1115">
        <f ca="1">ROUNDDOWN((E25*D25),1)</f>
        <v>5040</v>
      </c>
      <c r="G25" s="1114"/>
      <c r="H25" s="1114"/>
      <c r="I25" s="1114"/>
      <c r="J25" s="1114"/>
      <c r="K25" s="1114">
        <f t="shared" si="3"/>
        <v>60000</v>
      </c>
      <c r="L25" s="1114">
        <f t="shared" si="4"/>
        <v>5040</v>
      </c>
      <c r="M25" s="1119"/>
    </row>
    <row r="26" spans="1:14" s="1109" customFormat="1" ht="12.4" customHeight="1">
      <c r="A26" s="1136" t="s">
        <v>232</v>
      </c>
      <c r="B26" s="1137"/>
      <c r="C26" s="1137" t="s">
        <v>233</v>
      </c>
      <c r="D26" s="1138">
        <v>56</v>
      </c>
      <c r="E26" s="874">
        <f ca="1">'033-MUDPACK-단가산출'!J59/1000</f>
        <v>25</v>
      </c>
      <c r="F26" s="1139">
        <f ca="1">(E26*D26)</f>
        <v>1400</v>
      </c>
      <c r="G26" s="1114"/>
      <c r="H26" s="1114"/>
      <c r="I26" s="1114"/>
      <c r="J26" s="1114"/>
      <c r="K26" s="1114">
        <f t="shared" si="3"/>
        <v>25</v>
      </c>
      <c r="L26" s="1114">
        <f t="shared" si="4"/>
        <v>1400</v>
      </c>
      <c r="M26" s="1119"/>
    </row>
    <row r="27" spans="1:14" s="1109" customFormat="1" ht="12.4" customHeight="1">
      <c r="A27" s="1764" t="s">
        <v>673</v>
      </c>
      <c r="B27" s="1111" t="s">
        <v>1717</v>
      </c>
      <c r="C27" s="1112" t="s">
        <v>233</v>
      </c>
      <c r="D27" s="1140">
        <v>25</v>
      </c>
      <c r="E27" s="1114">
        <f ca="1">'033-MUDPACK-단가산출'!J62/1000</f>
        <v>10</v>
      </c>
      <c r="F27" s="1115">
        <f t="shared" ref="F27:F33" si="5">ROUNDDOWN((E27*D27),1)</f>
        <v>250</v>
      </c>
      <c r="G27" s="1114"/>
      <c r="H27" s="1114"/>
      <c r="I27" s="1114"/>
      <c r="J27" s="1114"/>
      <c r="K27" s="1114">
        <f t="shared" si="3"/>
        <v>10</v>
      </c>
      <c r="L27" s="1114">
        <f t="shared" si="4"/>
        <v>250</v>
      </c>
      <c r="M27" s="1119"/>
    </row>
    <row r="28" spans="1:14" s="1109" customFormat="1" ht="12.4" customHeight="1">
      <c r="A28" s="1764"/>
      <c r="B28" s="1111" t="s">
        <v>226</v>
      </c>
      <c r="C28" s="1112" t="s">
        <v>233</v>
      </c>
      <c r="D28" s="1140">
        <v>35</v>
      </c>
      <c r="E28" s="1114">
        <f ca="1">'033-MUDPACK-단가산출'!J63/1000</f>
        <v>40</v>
      </c>
      <c r="F28" s="1115">
        <f t="shared" si="5"/>
        <v>1400</v>
      </c>
      <c r="G28" s="1114"/>
      <c r="H28" s="1114"/>
      <c r="I28" s="1114"/>
      <c r="J28" s="1114"/>
      <c r="K28" s="1114">
        <f t="shared" si="3"/>
        <v>40</v>
      </c>
      <c r="L28" s="1114">
        <f t="shared" si="4"/>
        <v>1400</v>
      </c>
      <c r="M28" s="1119"/>
    </row>
    <row r="29" spans="1:14" s="1109" customFormat="1" ht="12.4" customHeight="1">
      <c r="A29" s="1110" t="s">
        <v>255</v>
      </c>
      <c r="B29" s="1111" t="s">
        <v>1244</v>
      </c>
      <c r="C29" s="1112" t="s">
        <v>680</v>
      </c>
      <c r="D29" s="1134">
        <v>0.06</v>
      </c>
      <c r="E29" s="1114">
        <f ca="1">'033-MUDPACK-단가산출'!J7</f>
        <v>12135.880000000001</v>
      </c>
      <c r="F29" s="1115">
        <f t="shared" si="5"/>
        <v>728.1</v>
      </c>
      <c r="G29" s="1114">
        <f ca="1">'033-MUDPACK-단가산출'!K10</f>
        <v>14915</v>
      </c>
      <c r="H29" s="1115">
        <f t="shared" ref="H29:H37" si="6">ROUNDDOWN((G29*D29),1)</f>
        <v>894.9</v>
      </c>
      <c r="I29" s="1114">
        <f ca="1">'033-MUDPACK-단가산출'!L4</f>
        <v>3752</v>
      </c>
      <c r="J29" s="1115">
        <f>ROUNDDOWN((I29*D29),1)</f>
        <v>225.1</v>
      </c>
      <c r="K29" s="1114">
        <f t="shared" si="3"/>
        <v>30802.880000000001</v>
      </c>
      <c r="L29" s="1114">
        <f t="shared" si="4"/>
        <v>1848.1</v>
      </c>
      <c r="M29" s="1119"/>
    </row>
    <row r="30" spans="1:14" s="1109" customFormat="1" ht="12.4" customHeight="1">
      <c r="A30" s="1110" t="s">
        <v>917</v>
      </c>
      <c r="B30" s="1111" t="s">
        <v>847</v>
      </c>
      <c r="C30" s="1112" t="s">
        <v>680</v>
      </c>
      <c r="D30" s="1134">
        <v>0.06</v>
      </c>
      <c r="E30" s="1114">
        <f ca="1">'033-MUDPACK-단가산출'!J22</f>
        <v>13600.6</v>
      </c>
      <c r="F30" s="1115">
        <f t="shared" si="5"/>
        <v>816</v>
      </c>
      <c r="G30" s="1114">
        <f ca="1">'033-MUDPACK-단가산출'!K25</f>
        <v>17696</v>
      </c>
      <c r="H30" s="1115">
        <f t="shared" si="6"/>
        <v>1061.7</v>
      </c>
      <c r="I30" s="1114">
        <f ca="1">'033-MUDPACK-단가산출'!L19</f>
        <v>7823</v>
      </c>
      <c r="J30" s="1115">
        <f>ROUNDDOWN((I30*D30),1)</f>
        <v>469.3</v>
      </c>
      <c r="K30" s="1114">
        <f t="shared" si="3"/>
        <v>39119.599999999999</v>
      </c>
      <c r="L30" s="1114">
        <f t="shared" si="4"/>
        <v>2347</v>
      </c>
      <c r="M30" s="1119"/>
    </row>
    <row r="31" spans="1:14" s="1109" customFormat="1" ht="12.4" customHeight="1">
      <c r="A31" s="1110" t="s">
        <v>1642</v>
      </c>
      <c r="B31" s="1111" t="s">
        <v>1259</v>
      </c>
      <c r="C31" s="1112" t="s">
        <v>680</v>
      </c>
      <c r="D31" s="1134">
        <v>7.0000000000000007E-2</v>
      </c>
      <c r="E31" s="1114">
        <f ca="1">'033-MUDPACK-단가산출'!J29</f>
        <v>6884</v>
      </c>
      <c r="F31" s="1139">
        <f t="shared" si="5"/>
        <v>481.8</v>
      </c>
      <c r="G31" s="1114">
        <f ca="1">'033-MUDPACK-단가산출'!K32</f>
        <v>17696</v>
      </c>
      <c r="H31" s="1115">
        <f t="shared" si="6"/>
        <v>1238.7</v>
      </c>
      <c r="I31" s="1114">
        <f ca="1">'033-MUDPACK-단가산출'!L26</f>
        <v>10362</v>
      </c>
      <c r="J31" s="1115">
        <f>ROUNDDOWN((I31*D31),1)</f>
        <v>725.3</v>
      </c>
      <c r="K31" s="1114">
        <f t="shared" si="3"/>
        <v>34942</v>
      </c>
      <c r="L31" s="1114">
        <f t="shared" si="4"/>
        <v>2445.8000000000002</v>
      </c>
      <c r="M31" s="1119"/>
    </row>
    <row r="32" spans="1:14" s="1109" customFormat="1" ht="12.4" customHeight="1">
      <c r="A32" s="1110" t="s">
        <v>836</v>
      </c>
      <c r="B32" s="1111" t="s">
        <v>241</v>
      </c>
      <c r="C32" s="1112" t="s">
        <v>680</v>
      </c>
      <c r="D32" s="1134">
        <v>0.06</v>
      </c>
      <c r="E32" s="1114">
        <f ca="1">'033-MUDPACK-단가산출'!J36</f>
        <v>12419</v>
      </c>
      <c r="F32" s="1115">
        <f t="shared" si="5"/>
        <v>745.1</v>
      </c>
      <c r="G32" s="1114">
        <f ca="1">'033-MUDPACK-단가산출'!K39</f>
        <v>17696</v>
      </c>
      <c r="H32" s="1115">
        <f t="shared" si="6"/>
        <v>1061.7</v>
      </c>
      <c r="I32" s="1114">
        <f ca="1">'033-MUDPACK-단가산출'!L33</f>
        <v>6117</v>
      </c>
      <c r="J32" s="1115">
        <f>ROUNDDOWN((I32*D32),1)</f>
        <v>367</v>
      </c>
      <c r="K32" s="1114">
        <f t="shared" si="3"/>
        <v>36232</v>
      </c>
      <c r="L32" s="1114">
        <f t="shared" si="4"/>
        <v>2173.8000000000002</v>
      </c>
      <c r="M32" s="1119"/>
    </row>
    <row r="33" spans="1:14" s="1109" customFormat="1" ht="12.4" customHeight="1">
      <c r="A33" s="1110" t="s">
        <v>835</v>
      </c>
      <c r="B33" s="1111" t="s">
        <v>1718</v>
      </c>
      <c r="C33" s="1112" t="s">
        <v>680</v>
      </c>
      <c r="D33" s="1134">
        <v>0.06</v>
      </c>
      <c r="E33" s="1114">
        <f ca="1">'033-MUDPACK-단가산출'!J43</f>
        <v>36016.3992</v>
      </c>
      <c r="F33" s="1115">
        <f t="shared" si="5"/>
        <v>2160.9</v>
      </c>
      <c r="G33" s="1114">
        <f ca="1">'033-MUDPACK-단가산출'!K46</f>
        <v>20561</v>
      </c>
      <c r="H33" s="1115">
        <f t="shared" si="6"/>
        <v>1233.5999999999999</v>
      </c>
      <c r="I33" s="1114">
        <f ca="1">'033-MUDPACK-단가산출'!L40</f>
        <v>6485</v>
      </c>
      <c r="J33" s="1115">
        <f>ROUNDDOWN((I33*D33),1)</f>
        <v>389.1</v>
      </c>
      <c r="K33" s="1114">
        <f t="shared" si="3"/>
        <v>63062.3992</v>
      </c>
      <c r="L33" s="1114">
        <f t="shared" si="4"/>
        <v>3783.6</v>
      </c>
      <c r="M33" s="1119"/>
    </row>
    <row r="34" spans="1:14" s="1109" customFormat="1" ht="12.4" customHeight="1">
      <c r="A34" s="1110" t="s">
        <v>1712</v>
      </c>
      <c r="B34" s="1111"/>
      <c r="C34" s="1112" t="s">
        <v>1221</v>
      </c>
      <c r="D34" s="1118">
        <v>6.0000000000000001E-3</v>
      </c>
      <c r="E34" s="1114"/>
      <c r="F34" s="1114"/>
      <c r="G34" s="1114">
        <f ca="1">'033-MUDPACK-단가산출'!E75</f>
        <v>92218</v>
      </c>
      <c r="H34" s="1115">
        <f t="shared" si="6"/>
        <v>553.29999999999995</v>
      </c>
      <c r="I34" s="1114"/>
      <c r="J34" s="1114"/>
      <c r="K34" s="1114">
        <f t="shared" si="3"/>
        <v>92218</v>
      </c>
      <c r="L34" s="1114">
        <f t="shared" si="4"/>
        <v>553.29999999999995</v>
      </c>
      <c r="M34" s="1119"/>
    </row>
    <row r="35" spans="1:14" s="1109" customFormat="1" ht="12.4" customHeight="1">
      <c r="A35" s="1110" t="s">
        <v>263</v>
      </c>
      <c r="B35" s="1111"/>
      <c r="C35" s="1112" t="s">
        <v>1221</v>
      </c>
      <c r="D35" s="1118">
        <v>2.7E-2</v>
      </c>
      <c r="E35" s="1114"/>
      <c r="F35" s="1114"/>
      <c r="G35" s="1114">
        <f ca="1">'033-MUDPACK-단가산출'!E72</f>
        <v>84404</v>
      </c>
      <c r="H35" s="1115">
        <f t="shared" si="6"/>
        <v>2278.9</v>
      </c>
      <c r="I35" s="1114"/>
      <c r="J35" s="1114"/>
      <c r="K35" s="1114">
        <f t="shared" si="3"/>
        <v>84404</v>
      </c>
      <c r="L35" s="1114">
        <f t="shared" si="4"/>
        <v>2278.9</v>
      </c>
      <c r="M35" s="1119"/>
    </row>
    <row r="36" spans="1:14" s="1109" customFormat="1" ht="12.4" customHeight="1">
      <c r="A36" s="1110" t="s">
        <v>1719</v>
      </c>
      <c r="B36" s="1111"/>
      <c r="C36" s="1112" t="s">
        <v>1221</v>
      </c>
      <c r="D36" s="1118">
        <v>6.0000000000000001E-3</v>
      </c>
      <c r="E36" s="1114"/>
      <c r="F36" s="1114"/>
      <c r="G36" s="1114">
        <f ca="1">'033-MUDPACK-단가산출'!E76</f>
        <v>81297</v>
      </c>
      <c r="H36" s="1115">
        <f t="shared" si="6"/>
        <v>487.7</v>
      </c>
      <c r="I36" s="1114"/>
      <c r="J36" s="1114"/>
      <c r="K36" s="1114">
        <f t="shared" si="3"/>
        <v>81297</v>
      </c>
      <c r="L36" s="1114">
        <f t="shared" si="4"/>
        <v>487.7</v>
      </c>
      <c r="M36" s="1119"/>
    </row>
    <row r="37" spans="1:14" s="1109" customFormat="1" ht="12.4" customHeight="1">
      <c r="A37" s="1110" t="s">
        <v>257</v>
      </c>
      <c r="B37" s="1111"/>
      <c r="C37" s="1112" t="s">
        <v>1221</v>
      </c>
      <c r="D37" s="1118">
        <v>5.1999999999999998E-2</v>
      </c>
      <c r="E37" s="1114"/>
      <c r="F37" s="1114"/>
      <c r="G37" s="1114">
        <f ca="1">'033-MUDPACK-단가산출'!E73</f>
        <v>68965</v>
      </c>
      <c r="H37" s="1115">
        <f t="shared" si="6"/>
        <v>3586.1</v>
      </c>
      <c r="I37" s="1114"/>
      <c r="J37" s="1114"/>
      <c r="K37" s="1114">
        <f t="shared" si="3"/>
        <v>68965</v>
      </c>
      <c r="L37" s="1114">
        <f t="shared" si="4"/>
        <v>3586.1</v>
      </c>
      <c r="M37" s="1119"/>
    </row>
    <row r="38" spans="1:14" s="1109" customFormat="1" ht="11.25" customHeight="1">
      <c r="A38" s="1120" t="s">
        <v>258</v>
      </c>
      <c r="B38" s="1121"/>
      <c r="C38" s="1122"/>
      <c r="D38" s="1118"/>
      <c r="E38" s="1114"/>
      <c r="F38" s="1124">
        <f>INT(SUM(F25:F37))</f>
        <v>13021</v>
      </c>
      <c r="G38" s="1124"/>
      <c r="H38" s="1124">
        <f>INT(SUM(H25:H37))</f>
        <v>12396</v>
      </c>
      <c r="I38" s="1124"/>
      <c r="J38" s="1124">
        <f>INT(SUM(J23:J37))</f>
        <v>3674</v>
      </c>
      <c r="K38" s="1124"/>
      <c r="L38" s="1124">
        <f>F38+H38+J38</f>
        <v>29091</v>
      </c>
      <c r="M38" s="1125"/>
      <c r="N38" s="1126"/>
    </row>
    <row r="39" spans="1:14" s="1109" customFormat="1" ht="12.4" customHeight="1">
      <c r="A39" s="1110" t="s">
        <v>666</v>
      </c>
      <c r="B39" s="1111" t="s">
        <v>243</v>
      </c>
      <c r="C39" s="1112"/>
      <c r="D39" s="1118"/>
      <c r="E39" s="1114"/>
      <c r="F39" s="1115">
        <f>(F11+F12+F17+F18+F25+F26+F27+F28)*0.03</f>
        <v>404.72999999999996</v>
      </c>
      <c r="G39" s="1114"/>
      <c r="H39" s="1114"/>
      <c r="I39" s="1114"/>
      <c r="J39" s="1114"/>
      <c r="K39" s="1114"/>
      <c r="L39" s="1114">
        <f>F39+H39+J39</f>
        <v>404.72999999999996</v>
      </c>
      <c r="M39" s="1119"/>
      <c r="N39" s="1126"/>
    </row>
    <row r="40" spans="1:14" ht="12.4" customHeight="1">
      <c r="A40" s="1141" t="s">
        <v>244</v>
      </c>
      <c r="B40" s="1142" t="s">
        <v>1720</v>
      </c>
      <c r="C40" s="1143"/>
      <c r="D40" s="1144"/>
      <c r="E40" s="1145"/>
      <c r="F40" s="1146">
        <f>(H7+H8+H13+H14+H19+H20+H21+H34+H35+H36+H37)*0.025</f>
        <v>328.40500000000003</v>
      </c>
      <c r="G40" s="1145"/>
      <c r="H40" s="1145"/>
      <c r="I40" s="1145"/>
      <c r="J40" s="1145"/>
      <c r="K40" s="1145"/>
      <c r="L40" s="1147">
        <f>F40+H40+J40</f>
        <v>328.40500000000003</v>
      </c>
      <c r="M40" s="1148"/>
    </row>
    <row r="41" spans="1:14" s="1157" customFormat="1" ht="12.4" customHeight="1" thickBot="1">
      <c r="A41" s="1149" t="s">
        <v>246</v>
      </c>
      <c r="B41" s="1150"/>
      <c r="C41" s="1151"/>
      <c r="D41" s="1152"/>
      <c r="E41" s="1153"/>
      <c r="F41" s="1154">
        <f>F9+F15+F22+F38+F39+F40</f>
        <v>19385.134999999998</v>
      </c>
      <c r="G41" s="1154"/>
      <c r="H41" s="1154">
        <f>H9+H15+H22+H38+H40</f>
        <v>18909</v>
      </c>
      <c r="I41" s="1154"/>
      <c r="J41" s="1154">
        <f>J9+J15+J22+J38+J40</f>
        <v>3745</v>
      </c>
      <c r="K41" s="1154"/>
      <c r="L41" s="1153">
        <f>F41+H41+J41</f>
        <v>42039.134999999995</v>
      </c>
      <c r="M41" s="1155"/>
      <c r="N41" s="1156"/>
    </row>
  </sheetData>
  <mergeCells count="11">
    <mergeCell ref="M3:M4"/>
    <mergeCell ref="K3:L3"/>
    <mergeCell ref="A27:A28"/>
    <mergeCell ref="A1:M1"/>
    <mergeCell ref="E3:F3"/>
    <mergeCell ref="G3:H3"/>
    <mergeCell ref="I3:J3"/>
    <mergeCell ref="A3:A4"/>
    <mergeCell ref="B3:B4"/>
    <mergeCell ref="C3:C4"/>
    <mergeCell ref="D3:D4"/>
  </mergeCells>
  <phoneticPr fontId="3" type="noConversion"/>
  <pageMargins left="0.47244094488188981" right="0.47244094488188981" top="0.62992125984251968" bottom="0.27559055118110237" header="0.51181102362204722" footer="0.51181102362204722"/>
  <pageSetup paperSize="9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 enableFormatConditionsCalculation="0">
    <tabColor indexed="41"/>
  </sheetPr>
  <dimension ref="A1:N41"/>
  <sheetViews>
    <sheetView zoomScale="120" workbookViewId="0">
      <pane xSplit="2" ySplit="5" topLeftCell="F9" activePane="bottomRight" state="frozen"/>
      <selection sqref="A1:IV65536"/>
      <selection pane="topRight" sqref="A1:IV65536"/>
      <selection pane="bottomLeft" sqref="A1:IV65536"/>
      <selection pane="bottomRight" sqref="A1:IV65536"/>
    </sheetView>
  </sheetViews>
  <sheetFormatPr defaultRowHeight="15" customHeight="1"/>
  <cols>
    <col min="1" max="1" width="20" style="1098" customWidth="1"/>
    <col min="2" max="2" width="14.77734375" style="1098" customWidth="1"/>
    <col min="3" max="3" width="4.88671875" style="1158" customWidth="1"/>
    <col min="4" max="4" width="6.77734375" style="1159" customWidth="1"/>
    <col min="5" max="5" width="8" style="1160" customWidth="1"/>
    <col min="6" max="6" width="8.77734375" style="1160" customWidth="1"/>
    <col min="7" max="7" width="8" style="1160" customWidth="1"/>
    <col min="8" max="8" width="8.77734375" style="1160" customWidth="1"/>
    <col min="9" max="9" width="8" style="1160" customWidth="1"/>
    <col min="10" max="12" width="8.77734375" style="1160" customWidth="1"/>
    <col min="13" max="13" width="4.44140625" style="1160" customWidth="1"/>
    <col min="14" max="16384" width="8.88671875" style="1098"/>
  </cols>
  <sheetData>
    <row r="1" spans="1:14" ht="19.5" customHeight="1">
      <c r="A1" s="1749" t="s">
        <v>227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</row>
    <row r="2" spans="1:14" ht="14.25" customHeight="1" thickBot="1">
      <c r="A2" s="1099" t="s">
        <v>1721</v>
      </c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</row>
    <row r="3" spans="1:14" s="1101" customFormat="1" ht="14.25" customHeight="1">
      <c r="A3" s="1765" t="s">
        <v>228</v>
      </c>
      <c r="B3" s="1767" t="s">
        <v>95</v>
      </c>
      <c r="C3" s="1767" t="s">
        <v>288</v>
      </c>
      <c r="D3" s="1763" t="s">
        <v>691</v>
      </c>
      <c r="E3" s="1763" t="s">
        <v>2205</v>
      </c>
      <c r="F3" s="1763"/>
      <c r="G3" s="1763" t="s">
        <v>2206</v>
      </c>
      <c r="H3" s="1763"/>
      <c r="I3" s="1763" t="s">
        <v>229</v>
      </c>
      <c r="J3" s="1763"/>
      <c r="K3" s="1763" t="s">
        <v>148</v>
      </c>
      <c r="L3" s="1763"/>
      <c r="M3" s="1770" t="s">
        <v>230</v>
      </c>
    </row>
    <row r="4" spans="1:14" s="1101" customFormat="1" ht="14.25" customHeight="1">
      <c r="A4" s="1772"/>
      <c r="B4" s="1773"/>
      <c r="C4" s="1773"/>
      <c r="D4" s="1774"/>
      <c r="E4" s="1161" t="s">
        <v>1405</v>
      </c>
      <c r="F4" s="1161" t="s">
        <v>830</v>
      </c>
      <c r="G4" s="1161" t="s">
        <v>1405</v>
      </c>
      <c r="H4" s="1161" t="s">
        <v>830</v>
      </c>
      <c r="I4" s="1161" t="s">
        <v>1405</v>
      </c>
      <c r="J4" s="1161" t="s">
        <v>830</v>
      </c>
      <c r="K4" s="1161" t="s">
        <v>1405</v>
      </c>
      <c r="L4" s="1161" t="s">
        <v>830</v>
      </c>
      <c r="M4" s="1775"/>
    </row>
    <row r="5" spans="1:14" s="1109" customFormat="1" ht="12.4" customHeight="1">
      <c r="A5" s="1162" t="s">
        <v>254</v>
      </c>
      <c r="B5" s="1163"/>
      <c r="C5" s="1164"/>
      <c r="D5" s="1165"/>
      <c r="E5" s="1166"/>
      <c r="F5" s="1166"/>
      <c r="G5" s="1166"/>
      <c r="H5" s="1166"/>
      <c r="I5" s="1166"/>
      <c r="J5" s="1166"/>
      <c r="K5" s="1166"/>
      <c r="L5" s="1166"/>
      <c r="M5" s="1167"/>
    </row>
    <row r="6" spans="1:14" s="1109" customFormat="1" ht="12.4" customHeight="1">
      <c r="A6" s="1110" t="s">
        <v>255</v>
      </c>
      <c r="B6" s="1111" t="s">
        <v>1244</v>
      </c>
      <c r="C6" s="1112" t="s">
        <v>680</v>
      </c>
      <c r="D6" s="1113">
        <v>1.9E-2</v>
      </c>
      <c r="E6" s="1114">
        <f ca="1">'033-MUDPACK-단가산출'!J7</f>
        <v>12135.880000000001</v>
      </c>
      <c r="F6" s="1115">
        <f ca="1">ROUNDDOWN((E6*D6),1)</f>
        <v>230.5</v>
      </c>
      <c r="G6" s="1114">
        <f ca="1">'033-MUDPACK-단가산출'!K10</f>
        <v>14915</v>
      </c>
      <c r="H6" s="1115">
        <f ca="1">ROUNDDOWN((G6*D6),1)</f>
        <v>283.3</v>
      </c>
      <c r="I6" s="1114">
        <f ca="1">'033-MUDPACK-단가산출'!L4</f>
        <v>3752</v>
      </c>
      <c r="J6" s="1115">
        <f>ROUNDDOWN((I6*D6),1)</f>
        <v>71.2</v>
      </c>
      <c r="K6" s="1114">
        <f t="shared" ref="K6:L8" si="0">E6+G6+I6</f>
        <v>30802.880000000001</v>
      </c>
      <c r="L6" s="1115">
        <f t="shared" si="0"/>
        <v>585</v>
      </c>
      <c r="M6" s="1108"/>
    </row>
    <row r="7" spans="1:14" s="1109" customFormat="1" ht="12.4" customHeight="1">
      <c r="A7" s="1117" t="s">
        <v>256</v>
      </c>
      <c r="B7" s="1111"/>
      <c r="C7" s="1112" t="s">
        <v>1221</v>
      </c>
      <c r="D7" s="1118">
        <v>1.2E-2</v>
      </c>
      <c r="E7" s="1114"/>
      <c r="F7" s="1114"/>
      <c r="G7" s="1114">
        <f ca="1">'033-MUDPACK-단가산출'!E74</f>
        <v>79533</v>
      </c>
      <c r="H7" s="1115">
        <f ca="1">ROUNDDOWN((G7*D7),1)</f>
        <v>954.3</v>
      </c>
      <c r="I7" s="1114"/>
      <c r="J7" s="1114"/>
      <c r="K7" s="1114">
        <f t="shared" si="0"/>
        <v>79533</v>
      </c>
      <c r="L7" s="1115">
        <f t="shared" si="0"/>
        <v>954.3</v>
      </c>
      <c r="M7" s="1125"/>
    </row>
    <row r="8" spans="1:14" s="1109" customFormat="1" ht="12.4" customHeight="1">
      <c r="A8" s="1117" t="s">
        <v>257</v>
      </c>
      <c r="B8" s="1111"/>
      <c r="C8" s="1112" t="s">
        <v>1221</v>
      </c>
      <c r="D8" s="1118">
        <v>1.2E-2</v>
      </c>
      <c r="E8" s="1114"/>
      <c r="F8" s="1114"/>
      <c r="G8" s="1114">
        <f ca="1">'033-MUDPACK-단가산출'!E73</f>
        <v>68965</v>
      </c>
      <c r="H8" s="1115">
        <f ca="1">ROUNDDOWN((G8*D8),1)</f>
        <v>827.5</v>
      </c>
      <c r="I8" s="1114"/>
      <c r="J8" s="1114"/>
      <c r="K8" s="1114">
        <f t="shared" si="0"/>
        <v>68965</v>
      </c>
      <c r="L8" s="1115">
        <f t="shared" si="0"/>
        <v>827.5</v>
      </c>
      <c r="M8" s="1125"/>
    </row>
    <row r="9" spans="1:14" s="1109" customFormat="1" ht="12.4" customHeight="1">
      <c r="A9" s="1120" t="s">
        <v>258</v>
      </c>
      <c r="B9" s="1111"/>
      <c r="C9" s="1112"/>
      <c r="D9" s="1118"/>
      <c r="E9" s="1114"/>
      <c r="F9" s="1124">
        <f ca="1">INT(SUM(F6:F8))</f>
        <v>230</v>
      </c>
      <c r="G9" s="1124"/>
      <c r="H9" s="1124">
        <f ca="1">INT(SUM(H6:H8))</f>
        <v>2065</v>
      </c>
      <c r="I9" s="1124"/>
      <c r="J9" s="1124">
        <f>INT(SUM(J6:J8))</f>
        <v>71</v>
      </c>
      <c r="K9" s="1124"/>
      <c r="L9" s="1124">
        <f>F9+H9+J9</f>
        <v>2366</v>
      </c>
      <c r="M9" s="1125"/>
      <c r="N9" s="1126"/>
    </row>
    <row r="10" spans="1:14" s="1109" customFormat="1" ht="12.4" customHeight="1">
      <c r="A10" s="1110" t="s">
        <v>259</v>
      </c>
      <c r="B10" s="1121"/>
      <c r="C10" s="1122"/>
      <c r="D10" s="1118"/>
      <c r="E10" s="1114"/>
      <c r="F10" s="1114"/>
      <c r="G10" s="1114"/>
      <c r="H10" s="1114"/>
      <c r="I10" s="1114"/>
      <c r="J10" s="1114"/>
      <c r="K10" s="1114"/>
      <c r="L10" s="1114"/>
      <c r="M10" s="1125"/>
    </row>
    <row r="11" spans="1:14" s="1109" customFormat="1" ht="12.4" customHeight="1">
      <c r="A11" s="1110" t="s">
        <v>260</v>
      </c>
      <c r="B11" s="1111" t="s">
        <v>261</v>
      </c>
      <c r="C11" s="1112" t="s">
        <v>1167</v>
      </c>
      <c r="D11" s="1118">
        <v>0.23</v>
      </c>
      <c r="E11" s="1114">
        <f ca="1">'033-MUDPACK-단가산출'!J65</f>
        <v>700</v>
      </c>
      <c r="F11" s="1115">
        <f ca="1">ROUNDDOWN((E11*D11),1)</f>
        <v>161</v>
      </c>
      <c r="G11" s="1114"/>
      <c r="H11" s="1114"/>
      <c r="I11" s="1114"/>
      <c r="J11" s="1114"/>
      <c r="K11" s="1114">
        <f t="shared" ref="K11:L14" si="1">E11+G11+I11</f>
        <v>700</v>
      </c>
      <c r="L11" s="1115">
        <f t="shared" si="1"/>
        <v>161</v>
      </c>
      <c r="M11" s="1119"/>
    </row>
    <row r="12" spans="1:14" s="1109" customFormat="1" ht="12.4" customHeight="1">
      <c r="A12" s="1110" t="s">
        <v>887</v>
      </c>
      <c r="B12" s="1111" t="s">
        <v>262</v>
      </c>
      <c r="C12" s="1112" t="s">
        <v>1167</v>
      </c>
      <c r="D12" s="1133">
        <v>0.5</v>
      </c>
      <c r="E12" s="1114">
        <f ca="1">'033-MUDPACK-단가산출'!J66</f>
        <v>600</v>
      </c>
      <c r="F12" s="1115">
        <f ca="1">ROUNDDOWN((E12*D12),1)</f>
        <v>300</v>
      </c>
      <c r="G12" s="1114"/>
      <c r="H12" s="1114"/>
      <c r="I12" s="1114"/>
      <c r="J12" s="1114"/>
      <c r="K12" s="1114">
        <f t="shared" si="1"/>
        <v>600</v>
      </c>
      <c r="L12" s="1115">
        <f t="shared" si="1"/>
        <v>300</v>
      </c>
      <c r="M12" s="1119"/>
    </row>
    <row r="13" spans="1:14" s="1109" customFormat="1" ht="12.4" customHeight="1">
      <c r="A13" s="1110" t="s">
        <v>263</v>
      </c>
      <c r="B13" s="1111"/>
      <c r="C13" s="1112" t="s">
        <v>1221</v>
      </c>
      <c r="D13" s="1118">
        <v>6.0000000000000001E-3</v>
      </c>
      <c r="E13" s="1114"/>
      <c r="F13" s="1114"/>
      <c r="G13" s="1114">
        <f ca="1">'033-MUDPACK-단가산출'!E72</f>
        <v>84404</v>
      </c>
      <c r="H13" s="1115">
        <f ca="1">ROUNDDOWN((G13*D13),1)</f>
        <v>506.4</v>
      </c>
      <c r="I13" s="1114"/>
      <c r="J13" s="1114"/>
      <c r="K13" s="1114">
        <f t="shared" si="1"/>
        <v>84404</v>
      </c>
      <c r="L13" s="1115">
        <f t="shared" si="1"/>
        <v>506.4</v>
      </c>
      <c r="M13" s="1119"/>
    </row>
    <row r="14" spans="1:14" s="1109" customFormat="1" ht="12.4" customHeight="1">
      <c r="A14" s="1110" t="s">
        <v>257</v>
      </c>
      <c r="B14" s="1111"/>
      <c r="C14" s="1112" t="s">
        <v>1221</v>
      </c>
      <c r="D14" s="1118">
        <v>6.0000000000000001E-3</v>
      </c>
      <c r="E14" s="1114"/>
      <c r="F14" s="1114"/>
      <c r="G14" s="1114">
        <f ca="1">'033-MUDPACK-단가산출'!E73</f>
        <v>68965</v>
      </c>
      <c r="H14" s="1115">
        <f ca="1">ROUNDDOWN((G14*D14),1)</f>
        <v>413.7</v>
      </c>
      <c r="I14" s="1114"/>
      <c r="J14" s="1114"/>
      <c r="K14" s="1114">
        <f t="shared" si="1"/>
        <v>68965</v>
      </c>
      <c r="L14" s="1115">
        <f t="shared" si="1"/>
        <v>413.7</v>
      </c>
      <c r="M14" s="1119"/>
    </row>
    <row r="15" spans="1:14" s="1109" customFormat="1" ht="12.4" customHeight="1">
      <c r="A15" s="1120" t="s">
        <v>258</v>
      </c>
      <c r="B15" s="1111"/>
      <c r="C15" s="1112"/>
      <c r="D15" s="1118"/>
      <c r="E15" s="1114"/>
      <c r="F15" s="1124">
        <f ca="1">INT(SUM(F11:F14))</f>
        <v>461</v>
      </c>
      <c r="G15" s="1124"/>
      <c r="H15" s="1124">
        <f ca="1">INT(SUM(H13:H14))</f>
        <v>920</v>
      </c>
      <c r="I15" s="1124"/>
      <c r="J15" s="1124"/>
      <c r="K15" s="1124"/>
      <c r="L15" s="1124">
        <f>F15+H15+J15</f>
        <v>1381</v>
      </c>
      <c r="M15" s="1119"/>
      <c r="N15" s="1126"/>
    </row>
    <row r="16" spans="1:14" s="1109" customFormat="1" ht="12.4" customHeight="1">
      <c r="A16" s="1110" t="s">
        <v>1708</v>
      </c>
      <c r="B16" s="1121"/>
      <c r="C16" s="1122"/>
      <c r="D16" s="1118"/>
      <c r="E16" s="1114"/>
      <c r="F16" s="1114"/>
      <c r="G16" s="1114"/>
      <c r="H16" s="1114"/>
      <c r="I16" s="1114"/>
      <c r="J16" s="1114"/>
      <c r="K16" s="1114"/>
      <c r="L16" s="1114"/>
      <c r="M16" s="1125"/>
      <c r="N16" s="1126"/>
    </row>
    <row r="17" spans="1:13" s="1109" customFormat="1" ht="12.4" customHeight="1">
      <c r="A17" s="1110" t="s">
        <v>1559</v>
      </c>
      <c r="B17" s="1111" t="s">
        <v>1709</v>
      </c>
      <c r="C17" s="1112" t="s">
        <v>716</v>
      </c>
      <c r="D17" s="1133">
        <v>1.3</v>
      </c>
      <c r="E17" s="867">
        <f ca="1">'033-MUDPACK-단가산출'!J67</f>
        <v>3500</v>
      </c>
      <c r="F17" s="1115">
        <f ca="1">ROUNDDOWN((E17*D17),1)</f>
        <v>4550</v>
      </c>
      <c r="G17" s="1114"/>
      <c r="H17" s="1114"/>
      <c r="I17" s="1114"/>
      <c r="J17" s="1114"/>
      <c r="K17" s="1114">
        <f t="shared" ref="K17:L21" si="2">E17+G17+I17</f>
        <v>3500</v>
      </c>
      <c r="L17" s="1115">
        <f t="shared" si="2"/>
        <v>4550</v>
      </c>
      <c r="M17" s="1119"/>
    </row>
    <row r="18" spans="1:13" s="1109" customFormat="1" ht="12.4" customHeight="1">
      <c r="A18" s="1110" t="s">
        <v>1710</v>
      </c>
      <c r="B18" s="1111" t="s">
        <v>1711</v>
      </c>
      <c r="C18" s="1112" t="s">
        <v>234</v>
      </c>
      <c r="D18" s="1133">
        <v>1.3</v>
      </c>
      <c r="E18" s="1114">
        <f ca="1">'033-MUDPACK-단가산출'!J68</f>
        <v>300</v>
      </c>
      <c r="F18" s="1115">
        <f ca="1">ROUNDDOWN((E18*D18),1)</f>
        <v>390</v>
      </c>
      <c r="G18" s="1114"/>
      <c r="H18" s="1114"/>
      <c r="I18" s="1114"/>
      <c r="J18" s="1114"/>
      <c r="K18" s="1114">
        <f t="shared" si="2"/>
        <v>300</v>
      </c>
      <c r="L18" s="1115">
        <f t="shared" si="2"/>
        <v>390</v>
      </c>
      <c r="M18" s="1119"/>
    </row>
    <row r="19" spans="1:13" s="1109" customFormat="1" ht="12.4" customHeight="1">
      <c r="A19" s="1110" t="s">
        <v>1712</v>
      </c>
      <c r="B19" s="1111"/>
      <c r="C19" s="1112" t="s">
        <v>1221</v>
      </c>
      <c r="D19" s="1118">
        <v>5.0000000000000001E-3</v>
      </c>
      <c r="E19" s="1114"/>
      <c r="F19" s="1114"/>
      <c r="G19" s="1114">
        <f ca="1">'033-MUDPACK-단가산출'!E75</f>
        <v>92218</v>
      </c>
      <c r="H19" s="1115">
        <f ca="1">ROUNDDOWN((G19*D19),1)</f>
        <v>461</v>
      </c>
      <c r="I19" s="1114"/>
      <c r="J19" s="1114"/>
      <c r="K19" s="1114">
        <f t="shared" si="2"/>
        <v>92218</v>
      </c>
      <c r="L19" s="1115">
        <f t="shared" si="2"/>
        <v>461</v>
      </c>
      <c r="M19" s="1119"/>
    </row>
    <row r="20" spans="1:13" s="1109" customFormat="1" ht="12.4" customHeight="1">
      <c r="A20" s="1110" t="s">
        <v>263</v>
      </c>
      <c r="B20" s="1111"/>
      <c r="C20" s="1112" t="s">
        <v>1221</v>
      </c>
      <c r="D20" s="1134">
        <v>0.02</v>
      </c>
      <c r="E20" s="1114"/>
      <c r="F20" s="1114"/>
      <c r="G20" s="1114">
        <f ca="1">'033-MUDPACK-단가산출'!E72</f>
        <v>84404</v>
      </c>
      <c r="H20" s="1115">
        <f ca="1">ROUNDDOWN((G20*D20),1)</f>
        <v>1688</v>
      </c>
      <c r="I20" s="1114"/>
      <c r="J20" s="1114"/>
      <c r="K20" s="1114">
        <f t="shared" si="2"/>
        <v>84404</v>
      </c>
      <c r="L20" s="1115">
        <f t="shared" si="2"/>
        <v>1688</v>
      </c>
      <c r="M20" s="1119"/>
    </row>
    <row r="21" spans="1:13" s="1109" customFormat="1" ht="12.4" customHeight="1">
      <c r="A21" s="1110" t="s">
        <v>257</v>
      </c>
      <c r="B21" s="1111"/>
      <c r="C21" s="1112" t="s">
        <v>1221</v>
      </c>
      <c r="D21" s="1134">
        <v>0.02</v>
      </c>
      <c r="E21" s="1114"/>
      <c r="F21" s="1114"/>
      <c r="G21" s="1114">
        <f ca="1">'033-MUDPACK-단가산출'!E73</f>
        <v>68965</v>
      </c>
      <c r="H21" s="1115">
        <f ca="1">ROUNDDOWN((G21*D21),1)</f>
        <v>1379.3</v>
      </c>
      <c r="I21" s="1114"/>
      <c r="J21" s="1114"/>
      <c r="K21" s="1114">
        <f t="shared" si="2"/>
        <v>68965</v>
      </c>
      <c r="L21" s="1115">
        <f t="shared" si="2"/>
        <v>1379.3</v>
      </c>
      <c r="M21" s="1119"/>
    </row>
    <row r="22" spans="1:13" s="1109" customFormat="1" ht="12.4" customHeight="1">
      <c r="A22" s="1120" t="s">
        <v>258</v>
      </c>
      <c r="B22" s="1111"/>
      <c r="C22" s="1168"/>
      <c r="D22" s="1118"/>
      <c r="E22" s="1114"/>
      <c r="F22" s="1124">
        <f ca="1">INT(SUM(F17:F21))</f>
        <v>4940</v>
      </c>
      <c r="G22" s="1124"/>
      <c r="H22" s="1124">
        <f ca="1">INT(SUM(H17:H21))</f>
        <v>3528</v>
      </c>
      <c r="I22" s="1124"/>
      <c r="J22" s="1124"/>
      <c r="K22" s="1124"/>
      <c r="L22" s="1124">
        <f>F22+H22+J22</f>
        <v>8468</v>
      </c>
      <c r="M22" s="1119"/>
    </row>
    <row r="23" spans="1:13" s="1109" customFormat="1" ht="12.4" customHeight="1">
      <c r="A23" s="1110" t="s">
        <v>1713</v>
      </c>
      <c r="B23" s="1121"/>
      <c r="C23" s="1135"/>
      <c r="D23" s="1118"/>
      <c r="E23" s="1114"/>
      <c r="F23" s="1114"/>
      <c r="G23" s="1114"/>
      <c r="H23" s="1114"/>
      <c r="I23" s="1114"/>
      <c r="J23" s="1114"/>
      <c r="K23" s="1114"/>
      <c r="L23" s="1114"/>
      <c r="M23" s="1125"/>
    </row>
    <row r="24" spans="1:13" s="1109" customFormat="1" ht="12.4" customHeight="1">
      <c r="A24" s="1110" t="s">
        <v>865</v>
      </c>
      <c r="B24" s="1111" t="s">
        <v>1714</v>
      </c>
      <c r="C24" s="1112" t="s">
        <v>680</v>
      </c>
      <c r="D24" s="1134">
        <v>0.08</v>
      </c>
      <c r="E24" s="1114"/>
      <c r="F24" s="1114"/>
      <c r="G24" s="1114"/>
      <c r="H24" s="1114"/>
      <c r="I24" s="1114">
        <f ca="1">'033-MUDPACK-단가산출'!L3</f>
        <v>24973.312000000002</v>
      </c>
      <c r="J24" s="1115">
        <f>ROUNDDOWN((I24*D24),1)</f>
        <v>1997.8</v>
      </c>
      <c r="K24" s="1114">
        <f t="shared" ref="K24:K37" si="3">E24+G24+I24</f>
        <v>24973.312000000002</v>
      </c>
      <c r="L24" s="1115">
        <f t="shared" ref="L24:L37" si="4">F24+H24+J24</f>
        <v>1997.8</v>
      </c>
      <c r="M24" s="1119"/>
    </row>
    <row r="25" spans="1:13" s="1109" customFormat="1" ht="12.4" customHeight="1">
      <c r="A25" s="1110" t="s">
        <v>1715</v>
      </c>
      <c r="B25" s="1111" t="s">
        <v>1716</v>
      </c>
      <c r="C25" s="1112" t="s">
        <v>225</v>
      </c>
      <c r="D25" s="1118">
        <v>0.12</v>
      </c>
      <c r="E25" s="1114">
        <f ca="1">'033-MUDPACK-단가산출'!J57</f>
        <v>60000</v>
      </c>
      <c r="F25" s="1115">
        <f t="shared" ref="F25:F33" si="5">ROUNDDOWN((E25*D25),1)</f>
        <v>7200</v>
      </c>
      <c r="G25" s="1114"/>
      <c r="H25" s="1114"/>
      <c r="I25" s="1114"/>
      <c r="J25" s="1114"/>
      <c r="K25" s="1114">
        <f t="shared" si="3"/>
        <v>60000</v>
      </c>
      <c r="L25" s="1115">
        <f t="shared" si="4"/>
        <v>7200</v>
      </c>
      <c r="M25" s="1119"/>
    </row>
    <row r="26" spans="1:13" s="1109" customFormat="1" ht="12.4" customHeight="1">
      <c r="A26" s="1136" t="s">
        <v>232</v>
      </c>
      <c r="B26" s="1137"/>
      <c r="C26" s="1137" t="s">
        <v>233</v>
      </c>
      <c r="D26" s="1138">
        <v>70</v>
      </c>
      <c r="E26" s="874">
        <f ca="1">'033-MUDPACK-단가산출'!J59/1000</f>
        <v>25</v>
      </c>
      <c r="F26" s="1139">
        <f t="shared" si="5"/>
        <v>1750</v>
      </c>
      <c r="G26" s="1114"/>
      <c r="H26" s="1114"/>
      <c r="I26" s="1114"/>
      <c r="J26" s="1114"/>
      <c r="K26" s="1114">
        <f t="shared" si="3"/>
        <v>25</v>
      </c>
      <c r="L26" s="1115">
        <f t="shared" si="4"/>
        <v>1750</v>
      </c>
      <c r="M26" s="1119"/>
    </row>
    <row r="27" spans="1:13" s="1109" customFormat="1" ht="12.4" customHeight="1">
      <c r="A27" s="1764" t="s">
        <v>673</v>
      </c>
      <c r="B27" s="1111" t="s">
        <v>1717</v>
      </c>
      <c r="C27" s="1112" t="s">
        <v>233</v>
      </c>
      <c r="D27" s="1140">
        <v>35</v>
      </c>
      <c r="E27" s="1114">
        <f ca="1">'033-MUDPACK-단가산출'!J62/1000</f>
        <v>10</v>
      </c>
      <c r="F27" s="1115">
        <f t="shared" si="5"/>
        <v>350</v>
      </c>
      <c r="G27" s="1114"/>
      <c r="H27" s="1114"/>
      <c r="I27" s="1114"/>
      <c r="J27" s="1114"/>
      <c r="K27" s="1114">
        <f t="shared" si="3"/>
        <v>10</v>
      </c>
      <c r="L27" s="1115">
        <f t="shared" si="4"/>
        <v>350</v>
      </c>
      <c r="M27" s="1119"/>
    </row>
    <row r="28" spans="1:13" s="1109" customFormat="1" ht="12.4" customHeight="1">
      <c r="A28" s="1764"/>
      <c r="B28" s="1111" t="s">
        <v>226</v>
      </c>
      <c r="C28" s="1112" t="s">
        <v>233</v>
      </c>
      <c r="D28" s="1140">
        <v>45</v>
      </c>
      <c r="E28" s="1114">
        <f ca="1">'033-MUDPACK-단가산출'!J63/1000</f>
        <v>40</v>
      </c>
      <c r="F28" s="1115">
        <f t="shared" si="5"/>
        <v>1800</v>
      </c>
      <c r="G28" s="1114"/>
      <c r="H28" s="1114"/>
      <c r="I28" s="1114"/>
      <c r="J28" s="1114"/>
      <c r="K28" s="1114">
        <f t="shared" si="3"/>
        <v>40</v>
      </c>
      <c r="L28" s="1115">
        <f t="shared" si="4"/>
        <v>1800</v>
      </c>
      <c r="M28" s="1119"/>
    </row>
    <row r="29" spans="1:13" s="1109" customFormat="1" ht="12.4" customHeight="1">
      <c r="A29" s="1110" t="s">
        <v>255</v>
      </c>
      <c r="B29" s="1111" t="s">
        <v>1244</v>
      </c>
      <c r="C29" s="1112" t="s">
        <v>680</v>
      </c>
      <c r="D29" s="1134">
        <v>0.08</v>
      </c>
      <c r="E29" s="1114">
        <f ca="1">'033-MUDPACK-단가산출'!J7</f>
        <v>12135.880000000001</v>
      </c>
      <c r="F29" s="1115">
        <f t="shared" si="5"/>
        <v>970.8</v>
      </c>
      <c r="G29" s="1114">
        <f ca="1">'033-MUDPACK-단가산출'!K10</f>
        <v>14915</v>
      </c>
      <c r="H29" s="1115">
        <f t="shared" ref="H29:H37" si="6">ROUNDDOWN((G29*D29),1)</f>
        <v>1193.2</v>
      </c>
      <c r="I29" s="1114">
        <f ca="1">'033-MUDPACK-단가산출'!L4</f>
        <v>3752</v>
      </c>
      <c r="J29" s="1115">
        <f>ROUNDDOWN((I29*D29),1)</f>
        <v>300.10000000000002</v>
      </c>
      <c r="K29" s="1114">
        <f t="shared" si="3"/>
        <v>30802.880000000001</v>
      </c>
      <c r="L29" s="1115">
        <f t="shared" si="4"/>
        <v>2464.1</v>
      </c>
      <c r="M29" s="1119"/>
    </row>
    <row r="30" spans="1:13" s="1109" customFormat="1" ht="12.4" customHeight="1">
      <c r="A30" s="1110" t="s">
        <v>917</v>
      </c>
      <c r="B30" s="1111" t="s">
        <v>847</v>
      </c>
      <c r="C30" s="1112" t="s">
        <v>680</v>
      </c>
      <c r="D30" s="1134">
        <v>0.08</v>
      </c>
      <c r="E30" s="1114">
        <f ca="1">'033-MUDPACK-단가산출'!J22</f>
        <v>13600.6</v>
      </c>
      <c r="F30" s="1115">
        <f t="shared" si="5"/>
        <v>1088</v>
      </c>
      <c r="G30" s="1114">
        <f ca="1">'033-MUDPACK-단가산출'!K25</f>
        <v>17696</v>
      </c>
      <c r="H30" s="1115">
        <f t="shared" si="6"/>
        <v>1415.6</v>
      </c>
      <c r="I30" s="1114">
        <f ca="1">'033-MUDPACK-단가산출'!L19</f>
        <v>7823</v>
      </c>
      <c r="J30" s="1115">
        <f>ROUNDDOWN((I30*D30),1)</f>
        <v>625.79999999999995</v>
      </c>
      <c r="K30" s="1114">
        <f t="shared" si="3"/>
        <v>39119.599999999999</v>
      </c>
      <c r="L30" s="1115">
        <f t="shared" si="4"/>
        <v>3129.3999999999996</v>
      </c>
      <c r="M30" s="1119"/>
    </row>
    <row r="31" spans="1:13" s="1109" customFormat="1" ht="12.4" customHeight="1">
      <c r="A31" s="1110" t="s">
        <v>1642</v>
      </c>
      <c r="B31" s="1111" t="s">
        <v>1259</v>
      </c>
      <c r="C31" s="1112" t="s">
        <v>680</v>
      </c>
      <c r="D31" s="1134">
        <v>0.09</v>
      </c>
      <c r="E31" s="1114">
        <f ca="1">'033-MUDPACK-단가산출'!J29</f>
        <v>6884</v>
      </c>
      <c r="F31" s="1139">
        <f t="shared" si="5"/>
        <v>619.5</v>
      </c>
      <c r="G31" s="1114">
        <f ca="1">'033-MUDPACK-단가산출'!K32</f>
        <v>17696</v>
      </c>
      <c r="H31" s="1115">
        <f t="shared" si="6"/>
        <v>1592.6</v>
      </c>
      <c r="I31" s="1114">
        <f ca="1">'033-MUDPACK-단가산출'!L26</f>
        <v>10362</v>
      </c>
      <c r="J31" s="1115">
        <f>ROUNDDOWN((I31*D31),1)</f>
        <v>932.5</v>
      </c>
      <c r="K31" s="1114">
        <f t="shared" si="3"/>
        <v>34942</v>
      </c>
      <c r="L31" s="1115">
        <f t="shared" si="4"/>
        <v>3144.6</v>
      </c>
      <c r="M31" s="1119"/>
    </row>
    <row r="32" spans="1:13" s="1109" customFormat="1" ht="12.4" customHeight="1">
      <c r="A32" s="1110" t="s">
        <v>836</v>
      </c>
      <c r="B32" s="1111" t="s">
        <v>241</v>
      </c>
      <c r="C32" s="1112" t="s">
        <v>680</v>
      </c>
      <c r="D32" s="1134">
        <v>0.08</v>
      </c>
      <c r="E32" s="1114">
        <f ca="1">'033-MUDPACK-단가산출'!J36</f>
        <v>12419</v>
      </c>
      <c r="F32" s="1115">
        <f t="shared" si="5"/>
        <v>993.5</v>
      </c>
      <c r="G32" s="1114">
        <f ca="1">'033-MUDPACK-단가산출'!K39</f>
        <v>17696</v>
      </c>
      <c r="H32" s="1115">
        <f t="shared" si="6"/>
        <v>1415.6</v>
      </c>
      <c r="I32" s="1114">
        <f ca="1">'033-MUDPACK-단가산출'!L33</f>
        <v>6117</v>
      </c>
      <c r="J32" s="1115">
        <f>ROUNDDOWN((I32*D32),1)</f>
        <v>489.3</v>
      </c>
      <c r="K32" s="1114">
        <f t="shared" si="3"/>
        <v>36232</v>
      </c>
      <c r="L32" s="1115">
        <f t="shared" si="4"/>
        <v>2898.4</v>
      </c>
      <c r="M32" s="1119"/>
    </row>
    <row r="33" spans="1:14" s="1109" customFormat="1" ht="12.4" customHeight="1">
      <c r="A33" s="1110" t="s">
        <v>835</v>
      </c>
      <c r="B33" s="1111" t="s">
        <v>1722</v>
      </c>
      <c r="C33" s="1112" t="s">
        <v>680</v>
      </c>
      <c r="D33" s="1134">
        <v>0.08</v>
      </c>
      <c r="E33" s="1114">
        <f ca="1">'033-MUDPACK-단가산출'!J43</f>
        <v>36016.3992</v>
      </c>
      <c r="F33" s="1115">
        <f t="shared" si="5"/>
        <v>2881.3</v>
      </c>
      <c r="G33" s="1114">
        <f ca="1">'033-MUDPACK-단가산출'!K46</f>
        <v>20561</v>
      </c>
      <c r="H33" s="1115">
        <f t="shared" si="6"/>
        <v>1644.8</v>
      </c>
      <c r="I33" s="1114">
        <f ca="1">'033-MUDPACK-단가산출'!L40</f>
        <v>6485</v>
      </c>
      <c r="J33" s="1115">
        <f>ROUNDDOWN((I33*D33),1)</f>
        <v>518.79999999999995</v>
      </c>
      <c r="K33" s="1114">
        <f t="shared" si="3"/>
        <v>63062.3992</v>
      </c>
      <c r="L33" s="1115">
        <f t="shared" si="4"/>
        <v>5044.9000000000005</v>
      </c>
      <c r="M33" s="1119"/>
    </row>
    <row r="34" spans="1:14" s="1109" customFormat="1" ht="12.4" customHeight="1">
      <c r="A34" s="1110" t="s">
        <v>1712</v>
      </c>
      <c r="B34" s="1111"/>
      <c r="C34" s="1112" t="s">
        <v>1221</v>
      </c>
      <c r="D34" s="1118">
        <v>8.0000000000000002E-3</v>
      </c>
      <c r="E34" s="1114"/>
      <c r="F34" s="1114"/>
      <c r="G34" s="1114">
        <f ca="1">'033-MUDPACK-단가산출'!E75</f>
        <v>92218</v>
      </c>
      <c r="H34" s="1115">
        <f t="shared" si="6"/>
        <v>737.7</v>
      </c>
      <c r="I34" s="1114"/>
      <c r="J34" s="1114"/>
      <c r="K34" s="1114">
        <f t="shared" si="3"/>
        <v>92218</v>
      </c>
      <c r="L34" s="1115">
        <f t="shared" si="4"/>
        <v>737.7</v>
      </c>
      <c r="M34" s="1119"/>
    </row>
    <row r="35" spans="1:14" s="1109" customFormat="1" ht="12.4" customHeight="1">
      <c r="A35" s="1110" t="s">
        <v>263</v>
      </c>
      <c r="B35" s="1111"/>
      <c r="C35" s="1112" t="s">
        <v>1221</v>
      </c>
      <c r="D35" s="1118">
        <v>3.5000000000000003E-2</v>
      </c>
      <c r="E35" s="1114"/>
      <c r="F35" s="1114"/>
      <c r="G35" s="1114">
        <f ca="1">'033-MUDPACK-단가산출'!E72</f>
        <v>84404</v>
      </c>
      <c r="H35" s="1115">
        <f t="shared" si="6"/>
        <v>2954.1</v>
      </c>
      <c r="I35" s="1114"/>
      <c r="J35" s="1114"/>
      <c r="K35" s="1114">
        <f t="shared" si="3"/>
        <v>84404</v>
      </c>
      <c r="L35" s="1115">
        <f t="shared" si="4"/>
        <v>2954.1</v>
      </c>
      <c r="M35" s="1119"/>
    </row>
    <row r="36" spans="1:14" s="1109" customFormat="1" ht="12.4" customHeight="1">
      <c r="A36" s="1110" t="s">
        <v>1719</v>
      </c>
      <c r="B36" s="1111"/>
      <c r="C36" s="1112" t="s">
        <v>1221</v>
      </c>
      <c r="D36" s="1118">
        <v>8.0000000000000002E-3</v>
      </c>
      <c r="E36" s="1114"/>
      <c r="F36" s="1114"/>
      <c r="G36" s="1114">
        <f ca="1">'033-MUDPACK-단가산출'!E76</f>
        <v>81297</v>
      </c>
      <c r="H36" s="1115">
        <f t="shared" si="6"/>
        <v>650.29999999999995</v>
      </c>
      <c r="I36" s="1114"/>
      <c r="J36" s="1114"/>
      <c r="K36" s="1114">
        <f t="shared" si="3"/>
        <v>81297</v>
      </c>
      <c r="L36" s="1115">
        <f t="shared" si="4"/>
        <v>650.29999999999995</v>
      </c>
      <c r="M36" s="1119"/>
    </row>
    <row r="37" spans="1:14" s="1109" customFormat="1" ht="12.4" customHeight="1">
      <c r="A37" s="1110" t="s">
        <v>257</v>
      </c>
      <c r="B37" s="1111"/>
      <c r="C37" s="1112" t="s">
        <v>1221</v>
      </c>
      <c r="D37" s="1134">
        <v>7.0000000000000007E-2</v>
      </c>
      <c r="E37" s="1114"/>
      <c r="F37" s="1114"/>
      <c r="G37" s="1114">
        <f ca="1">'033-MUDPACK-단가산출'!E73</f>
        <v>68965</v>
      </c>
      <c r="H37" s="1115">
        <f t="shared" si="6"/>
        <v>4827.5</v>
      </c>
      <c r="I37" s="1114"/>
      <c r="J37" s="1114"/>
      <c r="K37" s="1114">
        <f t="shared" si="3"/>
        <v>68965</v>
      </c>
      <c r="L37" s="1115">
        <f t="shared" si="4"/>
        <v>4827.5</v>
      </c>
      <c r="M37" s="1119"/>
    </row>
    <row r="38" spans="1:14" s="1109" customFormat="1" ht="12.4" customHeight="1">
      <c r="A38" s="1120" t="s">
        <v>258</v>
      </c>
      <c r="B38" s="1111"/>
      <c r="C38" s="1112"/>
      <c r="D38" s="1118"/>
      <c r="E38" s="1114"/>
      <c r="F38" s="1124">
        <f>INT(SUM(F25:F37))</f>
        <v>17653</v>
      </c>
      <c r="G38" s="1124"/>
      <c r="H38" s="1124">
        <f>INT(SUM(H25:H37))</f>
        <v>16431</v>
      </c>
      <c r="I38" s="1124"/>
      <c r="J38" s="1124">
        <f>INT(SUM(J23:J37))</f>
        <v>4864</v>
      </c>
      <c r="K38" s="1124"/>
      <c r="L38" s="1124">
        <f>F38+H38+J38</f>
        <v>38948</v>
      </c>
      <c r="M38" s="1119"/>
      <c r="N38" s="1126"/>
    </row>
    <row r="39" spans="1:14" ht="12.4" customHeight="1">
      <c r="A39" s="1169" t="s">
        <v>666</v>
      </c>
      <c r="B39" s="1170" t="s">
        <v>243</v>
      </c>
      <c r="C39" s="1171"/>
      <c r="D39" s="1172"/>
      <c r="E39" s="1173"/>
      <c r="F39" s="1174">
        <f>(F11+F12+F17+F18+F25+F26+F27+F28)*0.03</f>
        <v>495.03</v>
      </c>
      <c r="G39" s="1173"/>
      <c r="H39" s="1173"/>
      <c r="I39" s="1173"/>
      <c r="J39" s="1173"/>
      <c r="K39" s="1173"/>
      <c r="L39" s="1174">
        <f>F39+H39+J39</f>
        <v>495.03</v>
      </c>
      <c r="M39" s="1175"/>
    </row>
    <row r="40" spans="1:14" ht="12.4" customHeight="1">
      <c r="A40" s="1141" t="s">
        <v>244</v>
      </c>
      <c r="B40" s="1142" t="s">
        <v>1720</v>
      </c>
      <c r="C40" s="1143"/>
      <c r="D40" s="1144"/>
      <c r="E40" s="1145"/>
      <c r="F40" s="1176">
        <f>(H7+H8+H13+H14+H19+H20+H21+H34+H35+H36+H37)*0.025</f>
        <v>384.995</v>
      </c>
      <c r="G40" s="1145"/>
      <c r="H40" s="1145"/>
      <c r="I40" s="1145"/>
      <c r="J40" s="1145"/>
      <c r="K40" s="1145"/>
      <c r="L40" s="1177">
        <f>F40+H40+J40</f>
        <v>384.995</v>
      </c>
      <c r="M40" s="1178"/>
    </row>
    <row r="41" spans="1:14" s="1157" customFormat="1" ht="12.4" customHeight="1" thickBot="1">
      <c r="A41" s="1149" t="s">
        <v>246</v>
      </c>
      <c r="B41" s="1150"/>
      <c r="C41" s="1151"/>
      <c r="D41" s="1152"/>
      <c r="E41" s="1153"/>
      <c r="F41" s="1154">
        <f>F9+F15+F22+F38+F39+F40</f>
        <v>24164.024999999998</v>
      </c>
      <c r="G41" s="1154"/>
      <c r="H41" s="1154">
        <f>H9+H15+H22+H38+H40</f>
        <v>22944</v>
      </c>
      <c r="I41" s="1154"/>
      <c r="J41" s="1154">
        <f>J9+J15+J22+J38+J40</f>
        <v>4935</v>
      </c>
      <c r="K41" s="1154"/>
      <c r="L41" s="1153">
        <f>F41+H41+J41</f>
        <v>52043.024999999994</v>
      </c>
      <c r="M41" s="1155"/>
    </row>
  </sheetData>
  <mergeCells count="11">
    <mergeCell ref="K3:L3"/>
    <mergeCell ref="A27:A28"/>
    <mergeCell ref="A1:M1"/>
    <mergeCell ref="E3:F3"/>
    <mergeCell ref="G3:H3"/>
    <mergeCell ref="I3:J3"/>
    <mergeCell ref="A3:A4"/>
    <mergeCell ref="B3:B4"/>
    <mergeCell ref="C3:C4"/>
    <mergeCell ref="D3:D4"/>
    <mergeCell ref="M3:M4"/>
  </mergeCells>
  <phoneticPr fontId="3" type="noConversion"/>
  <pageMargins left="0.47244094488188981" right="0.47244094488188981" top="0.62992125984251968" bottom="0.27559055118110237" header="0.51181102362204722" footer="0.51181102362204722"/>
  <pageSetup paperSize="9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1:N106"/>
  <sheetViews>
    <sheetView zoomScale="110" workbookViewId="0">
      <pane xSplit="1" ySplit="2" topLeftCell="B3" activePane="bottomRight" state="frozen"/>
      <selection activeCell="G21" sqref="G21"/>
      <selection pane="topRight" activeCell="G21" sqref="G21"/>
      <selection pane="bottomLeft" activeCell="G21" sqref="G21"/>
      <selection pane="bottomRight" activeCell="G21" sqref="G21"/>
    </sheetView>
  </sheetViews>
  <sheetFormatPr defaultRowHeight="12.95" customHeight="1"/>
  <cols>
    <col min="1" max="1" width="8.33203125" style="819" customWidth="1"/>
    <col min="2" max="2" width="5.33203125" style="819" customWidth="1"/>
    <col min="3" max="3" width="8.77734375" style="819" customWidth="1"/>
    <col min="4" max="4" width="1.6640625" style="819" customWidth="1"/>
    <col min="5" max="5" width="7.33203125" style="819" customWidth="1"/>
    <col min="6" max="6" width="1.6640625" style="819" customWidth="1"/>
    <col min="7" max="7" width="6" style="819" customWidth="1"/>
    <col min="8" max="8" width="1.6640625" style="819" customWidth="1"/>
    <col min="9" max="9" width="6" style="905" customWidth="1"/>
    <col min="10" max="10" width="8" style="906" customWidth="1"/>
    <col min="11" max="11" width="8.44140625" style="906" customWidth="1"/>
    <col min="12" max="12" width="7.77734375" style="906" customWidth="1"/>
    <col min="13" max="13" width="13.77734375" style="907" customWidth="1"/>
    <col min="14" max="14" width="10.109375" style="819" bestFit="1" customWidth="1"/>
    <col min="15" max="16384" width="8.88671875" style="819"/>
  </cols>
  <sheetData>
    <row r="1" spans="1:14" ht="43.5" customHeight="1" thickBot="1">
      <c r="A1" s="1782" t="s">
        <v>1723</v>
      </c>
      <c r="B1" s="1782"/>
      <c r="C1" s="1782"/>
      <c r="D1" s="1782"/>
      <c r="E1" s="1782"/>
      <c r="F1" s="1782"/>
      <c r="G1" s="1782"/>
      <c r="H1" s="1782"/>
      <c r="I1" s="1782"/>
      <c r="J1" s="1782"/>
      <c r="K1" s="1782"/>
      <c r="L1" s="1782"/>
      <c r="M1" s="1782"/>
    </row>
    <row r="2" spans="1:14" ht="39.75" customHeight="1">
      <c r="A2" s="820" t="s">
        <v>1724</v>
      </c>
      <c r="B2" s="1783" t="s">
        <v>1725</v>
      </c>
      <c r="C2" s="1783"/>
      <c r="D2" s="1783"/>
      <c r="E2" s="1783"/>
      <c r="F2" s="1783"/>
      <c r="G2" s="1783"/>
      <c r="H2" s="1783"/>
      <c r="I2" s="1783"/>
      <c r="J2" s="821" t="s">
        <v>289</v>
      </c>
      <c r="K2" s="821" t="s">
        <v>826</v>
      </c>
      <c r="L2" s="821" t="s">
        <v>827</v>
      </c>
      <c r="M2" s="822" t="s">
        <v>230</v>
      </c>
    </row>
    <row r="3" spans="1:14" s="832" customFormat="1" ht="12.95" customHeight="1">
      <c r="A3" s="823" t="s">
        <v>1726</v>
      </c>
      <c r="B3" s="824" t="s">
        <v>1727</v>
      </c>
      <c r="C3" s="825">
        <v>58240000</v>
      </c>
      <c r="D3" s="826" t="s">
        <v>1705</v>
      </c>
      <c r="E3" s="825">
        <v>4288</v>
      </c>
      <c r="F3" s="826" t="s">
        <v>1705</v>
      </c>
      <c r="G3" s="827" t="s">
        <v>1728</v>
      </c>
      <c r="H3" s="826" t="s">
        <v>1052</v>
      </c>
      <c r="I3" s="828">
        <f>C3*E3/10000000</f>
        <v>24973.312000000002</v>
      </c>
      <c r="J3" s="829"/>
      <c r="K3" s="829"/>
      <c r="L3" s="830">
        <f>I3</f>
        <v>24973.312000000002</v>
      </c>
      <c r="M3" s="831" t="s">
        <v>1729</v>
      </c>
    </row>
    <row r="4" spans="1:14" s="832" customFormat="1" ht="12.95" customHeight="1">
      <c r="A4" s="1784" t="s">
        <v>1730</v>
      </c>
      <c r="B4" s="833" t="s">
        <v>1727</v>
      </c>
      <c r="C4" s="834">
        <v>16360000</v>
      </c>
      <c r="D4" s="835" t="s">
        <v>1705</v>
      </c>
      <c r="E4" s="834">
        <v>2294</v>
      </c>
      <c r="F4" s="835" t="s">
        <v>1705</v>
      </c>
      <c r="G4" s="836" t="s">
        <v>1728</v>
      </c>
      <c r="H4" s="835" t="s">
        <v>1052</v>
      </c>
      <c r="I4" s="837">
        <f>INT(C4*E4/10000000)</f>
        <v>3752</v>
      </c>
      <c r="J4" s="838"/>
      <c r="K4" s="838"/>
      <c r="L4" s="839">
        <f>I4</f>
        <v>3752</v>
      </c>
      <c r="M4" s="840" t="s">
        <v>1731</v>
      </c>
    </row>
    <row r="5" spans="1:14" s="832" customFormat="1" ht="12.95" customHeight="1">
      <c r="A5" s="1780"/>
      <c r="B5" s="824" t="s">
        <v>289</v>
      </c>
      <c r="C5" s="826" t="s">
        <v>1732</v>
      </c>
      <c r="D5" s="826" t="s">
        <v>1733</v>
      </c>
      <c r="E5" s="841" t="s">
        <v>1734</v>
      </c>
      <c r="F5" s="826" t="s">
        <v>1705</v>
      </c>
      <c r="G5" s="842">
        <v>1124.95</v>
      </c>
      <c r="H5" s="826" t="s">
        <v>1052</v>
      </c>
      <c r="I5" s="828">
        <f>INT(8.7*G5)</f>
        <v>9787</v>
      </c>
      <c r="J5" s="829"/>
      <c r="K5" s="829"/>
      <c r="L5" s="829"/>
      <c r="M5" s="843"/>
    </row>
    <row r="6" spans="1:14" s="832" customFormat="1" ht="12.95" customHeight="1">
      <c r="A6" s="1780"/>
      <c r="B6" s="824"/>
      <c r="C6" s="826" t="s">
        <v>1735</v>
      </c>
      <c r="D6" s="826" t="s">
        <v>1733</v>
      </c>
      <c r="E6" s="844">
        <f>I5</f>
        <v>9787</v>
      </c>
      <c r="F6" s="826" t="s">
        <v>1705</v>
      </c>
      <c r="G6" s="826">
        <v>0.24</v>
      </c>
      <c r="H6" s="826" t="s">
        <v>1052</v>
      </c>
      <c r="I6" s="828">
        <f>E6*G6</f>
        <v>2348.88</v>
      </c>
      <c r="J6" s="829"/>
      <c r="K6" s="829"/>
      <c r="L6" s="829"/>
      <c r="M6" s="845"/>
    </row>
    <row r="7" spans="1:14" s="832" customFormat="1" ht="12.95" customHeight="1">
      <c r="A7" s="1780"/>
      <c r="B7" s="824"/>
      <c r="C7" s="826" t="s">
        <v>145</v>
      </c>
      <c r="D7" s="826" t="s">
        <v>1733</v>
      </c>
      <c r="E7" s="844">
        <f>I5</f>
        <v>9787</v>
      </c>
      <c r="F7" s="826" t="s">
        <v>1736</v>
      </c>
      <c r="G7" s="844">
        <f>I6</f>
        <v>2348.88</v>
      </c>
      <c r="H7" s="826" t="s">
        <v>1052</v>
      </c>
      <c r="I7" s="828">
        <f>G7+E7</f>
        <v>12135.880000000001</v>
      </c>
      <c r="J7" s="830">
        <f>I7</f>
        <v>12135.880000000001</v>
      </c>
      <c r="K7" s="829"/>
      <c r="L7" s="829"/>
      <c r="M7" s="843"/>
    </row>
    <row r="8" spans="1:14" s="832" customFormat="1" ht="12.95" customHeight="1">
      <c r="A8" s="1780"/>
      <c r="B8" s="824" t="s">
        <v>826</v>
      </c>
      <c r="C8" s="826" t="s">
        <v>1737</v>
      </c>
      <c r="D8" s="826" t="s">
        <v>1733</v>
      </c>
      <c r="E8" s="844">
        <f>E69</f>
        <v>71594</v>
      </c>
      <c r="F8" s="826" t="s">
        <v>119</v>
      </c>
      <c r="G8" s="826"/>
      <c r="H8" s="826"/>
      <c r="I8" s="828"/>
      <c r="J8" s="829"/>
      <c r="K8" s="829"/>
      <c r="L8" s="829"/>
      <c r="M8" s="846"/>
    </row>
    <row r="9" spans="1:14" s="832" customFormat="1" ht="12.95" customHeight="1">
      <c r="A9" s="1780"/>
      <c r="B9" s="824"/>
      <c r="C9" s="826"/>
      <c r="D9" s="826"/>
      <c r="E9" s="1777" t="s">
        <v>1738</v>
      </c>
      <c r="F9" s="1777"/>
      <c r="G9" s="1777"/>
      <c r="H9" s="826" t="s">
        <v>1052</v>
      </c>
      <c r="I9" s="847">
        <f>1/8*25/20*16/12</f>
        <v>0.20833333333333334</v>
      </c>
      <c r="J9" s="829"/>
      <c r="K9" s="829"/>
      <c r="L9" s="829"/>
      <c r="M9" s="848"/>
    </row>
    <row r="10" spans="1:14" s="832" customFormat="1" ht="12.95" customHeight="1">
      <c r="A10" s="1785"/>
      <c r="B10" s="850"/>
      <c r="C10" s="851"/>
      <c r="D10" s="851"/>
      <c r="E10" s="852">
        <f>E8</f>
        <v>71594</v>
      </c>
      <c r="F10" s="851" t="s">
        <v>1705</v>
      </c>
      <c r="G10" s="853">
        <f>I9</f>
        <v>0.20833333333333334</v>
      </c>
      <c r="H10" s="851" t="s">
        <v>1052</v>
      </c>
      <c r="I10" s="854">
        <f>INT(G10*E10)</f>
        <v>14915</v>
      </c>
      <c r="J10" s="855"/>
      <c r="K10" s="856">
        <f>I10</f>
        <v>14915</v>
      </c>
      <c r="L10" s="855"/>
      <c r="M10" s="857"/>
      <c r="N10" s="858"/>
    </row>
    <row r="11" spans="1:14" s="832" customFormat="1" ht="12.95" customHeight="1">
      <c r="A11" s="1779" t="s">
        <v>1739</v>
      </c>
      <c r="B11" s="824" t="s">
        <v>1727</v>
      </c>
      <c r="C11" s="825">
        <v>38056000</v>
      </c>
      <c r="D11" s="826" t="s">
        <v>1705</v>
      </c>
      <c r="E11" s="859">
        <v>2474</v>
      </c>
      <c r="F11" s="826" t="s">
        <v>1705</v>
      </c>
      <c r="G11" s="827" t="s">
        <v>1728</v>
      </c>
      <c r="H11" s="826" t="s">
        <v>1052</v>
      </c>
      <c r="I11" s="828">
        <f>INT(C11*E11/10000000)</f>
        <v>9415</v>
      </c>
      <c r="J11" s="829"/>
      <c r="K11" s="829"/>
      <c r="L11" s="830">
        <f>I11</f>
        <v>9415</v>
      </c>
      <c r="M11" s="840" t="s">
        <v>1740</v>
      </c>
    </row>
    <row r="12" spans="1:14" s="832" customFormat="1" ht="12.95" customHeight="1">
      <c r="A12" s="1780"/>
      <c r="B12" s="824" t="s">
        <v>289</v>
      </c>
      <c r="C12" s="826" t="s">
        <v>1732</v>
      </c>
      <c r="D12" s="826" t="s">
        <v>1733</v>
      </c>
      <c r="E12" s="841" t="s">
        <v>1741</v>
      </c>
      <c r="F12" s="826" t="s">
        <v>1705</v>
      </c>
      <c r="G12" s="842">
        <v>1124.95</v>
      </c>
      <c r="H12" s="826" t="s">
        <v>1052</v>
      </c>
      <c r="I12" s="828">
        <f>INT(8.9*G12)</f>
        <v>10012</v>
      </c>
      <c r="J12" s="829"/>
      <c r="K12" s="829"/>
      <c r="L12" s="829"/>
      <c r="M12" s="843"/>
    </row>
    <row r="13" spans="1:14" s="832" customFormat="1" ht="12.95" customHeight="1">
      <c r="A13" s="1780"/>
      <c r="B13" s="824" t="s">
        <v>902</v>
      </c>
      <c r="C13" s="826" t="s">
        <v>1742</v>
      </c>
      <c r="D13" s="826" t="s">
        <v>1733</v>
      </c>
      <c r="E13" s="844">
        <f>I12</f>
        <v>10012</v>
      </c>
      <c r="F13" s="826" t="s">
        <v>1705</v>
      </c>
      <c r="G13" s="826">
        <v>0.25</v>
      </c>
      <c r="H13" s="826" t="s">
        <v>1052</v>
      </c>
      <c r="I13" s="828">
        <f>INT(E13*G13)</f>
        <v>2503</v>
      </c>
      <c r="J13" s="829"/>
      <c r="K13" s="829"/>
      <c r="L13" s="829"/>
      <c r="M13" s="845"/>
    </row>
    <row r="14" spans="1:14" s="832" customFormat="1" ht="12.95" customHeight="1">
      <c r="A14" s="1780"/>
      <c r="B14" s="824"/>
      <c r="C14" s="826" t="s">
        <v>145</v>
      </c>
      <c r="D14" s="826" t="s">
        <v>1733</v>
      </c>
      <c r="E14" s="844">
        <f>I12</f>
        <v>10012</v>
      </c>
      <c r="F14" s="826" t="s">
        <v>1736</v>
      </c>
      <c r="G14" s="844">
        <f>I13</f>
        <v>2503</v>
      </c>
      <c r="H14" s="826" t="s">
        <v>1052</v>
      </c>
      <c r="I14" s="828">
        <f>G14+E14</f>
        <v>12515</v>
      </c>
      <c r="J14" s="830">
        <f>I14</f>
        <v>12515</v>
      </c>
      <c r="K14" s="829"/>
      <c r="L14" s="829"/>
      <c r="M14" s="843"/>
    </row>
    <row r="15" spans="1:14" s="832" customFormat="1" ht="12.95" customHeight="1">
      <c r="A15" s="1780"/>
      <c r="B15" s="824" t="s">
        <v>826</v>
      </c>
      <c r="C15" s="826" t="s">
        <v>1743</v>
      </c>
      <c r="D15" s="826" t="s">
        <v>1733</v>
      </c>
      <c r="E15" s="844">
        <f>E77</f>
        <v>98693</v>
      </c>
      <c r="F15" s="826" t="s">
        <v>119</v>
      </c>
      <c r="G15" s="826"/>
      <c r="H15" s="826"/>
      <c r="I15" s="828"/>
      <c r="J15" s="829"/>
      <c r="K15" s="829"/>
      <c r="L15" s="829"/>
      <c r="M15" s="846"/>
    </row>
    <row r="16" spans="1:14" s="832" customFormat="1" ht="12.95" customHeight="1">
      <c r="A16" s="1780"/>
      <c r="B16" s="824"/>
      <c r="C16" s="826"/>
      <c r="D16" s="826"/>
      <c r="E16" s="1777" t="s">
        <v>1738</v>
      </c>
      <c r="F16" s="1777"/>
      <c r="G16" s="1777"/>
      <c r="H16" s="826" t="s">
        <v>1052</v>
      </c>
      <c r="I16" s="847">
        <f>1/8*25/20*16/12</f>
        <v>0.20833333333333334</v>
      </c>
      <c r="J16" s="829"/>
      <c r="K16" s="829"/>
      <c r="L16" s="829"/>
      <c r="M16" s="843"/>
    </row>
    <row r="17" spans="1:14" s="832" customFormat="1" ht="12.95" customHeight="1">
      <c r="A17" s="1780"/>
      <c r="B17" s="824"/>
      <c r="C17" s="826"/>
      <c r="D17" s="826"/>
      <c r="E17" s="844">
        <f>E15</f>
        <v>98693</v>
      </c>
      <c r="F17" s="826" t="s">
        <v>1705</v>
      </c>
      <c r="G17" s="860">
        <f>I16</f>
        <v>0.20833333333333334</v>
      </c>
      <c r="H17" s="826" t="s">
        <v>1052</v>
      </c>
      <c r="I17" s="828">
        <f>INT(G17*E17)</f>
        <v>20561</v>
      </c>
      <c r="J17" s="829"/>
      <c r="K17" s="830">
        <f>I17</f>
        <v>20561</v>
      </c>
      <c r="L17" s="829"/>
      <c r="M17" s="843"/>
      <c r="N17" s="858"/>
    </row>
    <row r="18" spans="1:14" s="832" customFormat="1" ht="12.95" customHeight="1">
      <c r="A18" s="861" t="s">
        <v>685</v>
      </c>
      <c r="B18" s="862" t="s">
        <v>1727</v>
      </c>
      <c r="C18" s="863">
        <v>17299000</v>
      </c>
      <c r="D18" s="864" t="s">
        <v>1705</v>
      </c>
      <c r="E18" s="865">
        <v>4288</v>
      </c>
      <c r="F18" s="864" t="s">
        <v>1705</v>
      </c>
      <c r="G18" s="866" t="s">
        <v>1728</v>
      </c>
      <c r="H18" s="864" t="s">
        <v>1052</v>
      </c>
      <c r="I18" s="867">
        <f>C18*E18/10000000</f>
        <v>7417.8112000000001</v>
      </c>
      <c r="J18" s="868"/>
      <c r="K18" s="868"/>
      <c r="L18" s="869">
        <f>I18</f>
        <v>7417.8112000000001</v>
      </c>
      <c r="M18" s="870" t="s">
        <v>1729</v>
      </c>
    </row>
    <row r="19" spans="1:14" s="832" customFormat="1" ht="12.95" customHeight="1">
      <c r="A19" s="1779" t="s">
        <v>1744</v>
      </c>
      <c r="B19" s="824" t="s">
        <v>1727</v>
      </c>
      <c r="C19" s="825">
        <v>38257000</v>
      </c>
      <c r="D19" s="826" t="s">
        <v>1705</v>
      </c>
      <c r="E19" s="859">
        <v>2045</v>
      </c>
      <c r="F19" s="826" t="s">
        <v>1705</v>
      </c>
      <c r="G19" s="827" t="s">
        <v>1728</v>
      </c>
      <c r="H19" s="826" t="s">
        <v>1052</v>
      </c>
      <c r="I19" s="871">
        <f>INT(C19*E19/10000000)</f>
        <v>7823</v>
      </c>
      <c r="J19" s="829"/>
      <c r="K19" s="829"/>
      <c r="L19" s="830">
        <f>I19</f>
        <v>7823</v>
      </c>
      <c r="M19" s="840" t="s">
        <v>1745</v>
      </c>
    </row>
    <row r="20" spans="1:14" s="832" customFormat="1" ht="12.95" customHeight="1">
      <c r="A20" s="1780"/>
      <c r="B20" s="824" t="s">
        <v>289</v>
      </c>
      <c r="C20" s="826" t="s">
        <v>1732</v>
      </c>
      <c r="D20" s="826" t="s">
        <v>1733</v>
      </c>
      <c r="E20" s="841" t="s">
        <v>1746</v>
      </c>
      <c r="F20" s="826" t="s">
        <v>1705</v>
      </c>
      <c r="G20" s="842">
        <v>1124.95</v>
      </c>
      <c r="H20" s="826" t="s">
        <v>1052</v>
      </c>
      <c r="I20" s="828">
        <f>INT(9.3*G20)</f>
        <v>10462</v>
      </c>
      <c r="J20" s="829"/>
      <c r="K20" s="829"/>
      <c r="L20" s="829"/>
      <c r="M20" s="843"/>
    </row>
    <row r="21" spans="1:14" s="832" customFormat="1" ht="12.95" customHeight="1">
      <c r="A21" s="1780"/>
      <c r="B21" s="824" t="s">
        <v>902</v>
      </c>
      <c r="C21" s="826" t="s">
        <v>1747</v>
      </c>
      <c r="D21" s="826" t="s">
        <v>1733</v>
      </c>
      <c r="E21" s="844">
        <f>I20</f>
        <v>10462</v>
      </c>
      <c r="F21" s="826" t="s">
        <v>1705</v>
      </c>
      <c r="G21" s="826">
        <v>0.3</v>
      </c>
      <c r="H21" s="826" t="s">
        <v>1052</v>
      </c>
      <c r="I21" s="828">
        <f>E21*G21</f>
        <v>3138.6</v>
      </c>
      <c r="J21" s="829"/>
      <c r="K21" s="829"/>
      <c r="L21" s="829"/>
      <c r="M21" s="845"/>
    </row>
    <row r="22" spans="1:14" s="832" customFormat="1" ht="12.95" customHeight="1">
      <c r="A22" s="1780"/>
      <c r="B22" s="824"/>
      <c r="C22" s="826" t="s">
        <v>145</v>
      </c>
      <c r="D22" s="826" t="s">
        <v>1733</v>
      </c>
      <c r="E22" s="844">
        <f>I20</f>
        <v>10462</v>
      </c>
      <c r="F22" s="826" t="s">
        <v>1736</v>
      </c>
      <c r="G22" s="844">
        <f>I21</f>
        <v>3138.6</v>
      </c>
      <c r="H22" s="826" t="s">
        <v>1052</v>
      </c>
      <c r="I22" s="828">
        <f>G22+E22</f>
        <v>13600.6</v>
      </c>
      <c r="J22" s="830">
        <f>I22</f>
        <v>13600.6</v>
      </c>
      <c r="K22" s="829"/>
      <c r="L22" s="829"/>
      <c r="M22" s="843"/>
    </row>
    <row r="23" spans="1:14" s="832" customFormat="1" ht="12.95" customHeight="1">
      <c r="A23" s="1780"/>
      <c r="B23" s="824" t="s">
        <v>826</v>
      </c>
      <c r="C23" s="826" t="s">
        <v>1748</v>
      </c>
      <c r="D23" s="826" t="s">
        <v>1733</v>
      </c>
      <c r="E23" s="844">
        <f>E70</f>
        <v>84942</v>
      </c>
      <c r="F23" s="826" t="s">
        <v>119</v>
      </c>
      <c r="G23" s="826"/>
      <c r="H23" s="826"/>
      <c r="I23" s="828"/>
      <c r="J23" s="829"/>
      <c r="K23" s="829"/>
      <c r="L23" s="829"/>
      <c r="M23" s="846"/>
    </row>
    <row r="24" spans="1:14" s="832" customFormat="1" ht="12.95" customHeight="1">
      <c r="A24" s="1780"/>
      <c r="B24" s="824"/>
      <c r="C24" s="826"/>
      <c r="D24" s="826"/>
      <c r="E24" s="1777" t="s">
        <v>1738</v>
      </c>
      <c r="F24" s="1777"/>
      <c r="G24" s="1777"/>
      <c r="H24" s="826" t="s">
        <v>1052</v>
      </c>
      <c r="I24" s="847">
        <f>1/8*25/20*16/12</f>
        <v>0.20833333333333334</v>
      </c>
      <c r="J24" s="829"/>
      <c r="K24" s="829"/>
      <c r="L24" s="829"/>
      <c r="M24" s="843"/>
    </row>
    <row r="25" spans="1:14" s="832" customFormat="1" ht="12.95" customHeight="1">
      <c r="A25" s="1780"/>
      <c r="B25" s="824"/>
      <c r="C25" s="826"/>
      <c r="D25" s="826"/>
      <c r="E25" s="844">
        <f>E23</f>
        <v>84942</v>
      </c>
      <c r="F25" s="826" t="s">
        <v>1705</v>
      </c>
      <c r="G25" s="860">
        <f>I24</f>
        <v>0.20833333333333334</v>
      </c>
      <c r="H25" s="826" t="s">
        <v>1052</v>
      </c>
      <c r="I25" s="871">
        <f>INT(G25*E25)</f>
        <v>17696</v>
      </c>
      <c r="J25" s="829"/>
      <c r="K25" s="830">
        <f>I25</f>
        <v>17696</v>
      </c>
      <c r="L25" s="829"/>
      <c r="M25" s="843"/>
    </row>
    <row r="26" spans="1:14" s="832" customFormat="1" ht="12.95" customHeight="1">
      <c r="A26" s="1784" t="s">
        <v>1749</v>
      </c>
      <c r="B26" s="833" t="s">
        <v>1727</v>
      </c>
      <c r="C26" s="834">
        <v>41399000</v>
      </c>
      <c r="D26" s="835" t="s">
        <v>1705</v>
      </c>
      <c r="E26" s="872">
        <v>2503</v>
      </c>
      <c r="F26" s="835" t="s">
        <v>1705</v>
      </c>
      <c r="G26" s="836" t="s">
        <v>1728</v>
      </c>
      <c r="H26" s="835" t="s">
        <v>1052</v>
      </c>
      <c r="I26" s="837">
        <f>INT(C26*E26/10000000)</f>
        <v>10362</v>
      </c>
      <c r="J26" s="838"/>
      <c r="K26" s="838"/>
      <c r="L26" s="839">
        <f>I26</f>
        <v>10362</v>
      </c>
      <c r="M26" s="873" t="s">
        <v>1750</v>
      </c>
    </row>
    <row r="27" spans="1:14" s="832" customFormat="1" ht="12.95" customHeight="1">
      <c r="A27" s="1780"/>
      <c r="B27" s="824" t="s">
        <v>289</v>
      </c>
      <c r="C27" s="826" t="s">
        <v>1732</v>
      </c>
      <c r="D27" s="826" t="s">
        <v>1733</v>
      </c>
      <c r="E27" s="841" t="s">
        <v>1751</v>
      </c>
      <c r="F27" s="826" t="s">
        <v>1705</v>
      </c>
      <c r="G27" s="842">
        <v>1124.95</v>
      </c>
      <c r="H27" s="826" t="s">
        <v>1052</v>
      </c>
      <c r="I27" s="828">
        <f>INT(5.1*G27)</f>
        <v>5737</v>
      </c>
      <c r="J27" s="829"/>
      <c r="K27" s="829"/>
      <c r="L27" s="829"/>
      <c r="M27" s="843"/>
    </row>
    <row r="28" spans="1:14" s="832" customFormat="1" ht="12.95" customHeight="1">
      <c r="A28" s="1780"/>
      <c r="B28" s="824" t="s">
        <v>902</v>
      </c>
      <c r="C28" s="826" t="s">
        <v>1752</v>
      </c>
      <c r="D28" s="826" t="s">
        <v>1733</v>
      </c>
      <c r="E28" s="844">
        <f>I27</f>
        <v>5737</v>
      </c>
      <c r="F28" s="826" t="s">
        <v>1705</v>
      </c>
      <c r="G28" s="826">
        <v>0.2</v>
      </c>
      <c r="H28" s="826" t="s">
        <v>1052</v>
      </c>
      <c r="I28" s="828">
        <f>INT(E28*G28)</f>
        <v>1147</v>
      </c>
      <c r="J28" s="829"/>
      <c r="K28" s="829"/>
      <c r="L28" s="829"/>
      <c r="M28" s="845"/>
    </row>
    <row r="29" spans="1:14" s="832" customFormat="1" ht="12.95" customHeight="1">
      <c r="A29" s="1780"/>
      <c r="B29" s="824"/>
      <c r="C29" s="826" t="s">
        <v>145</v>
      </c>
      <c r="D29" s="826" t="s">
        <v>1733</v>
      </c>
      <c r="E29" s="844">
        <f>I27</f>
        <v>5737</v>
      </c>
      <c r="F29" s="826" t="s">
        <v>1736</v>
      </c>
      <c r="G29" s="844">
        <f>I28</f>
        <v>1147</v>
      </c>
      <c r="H29" s="826" t="s">
        <v>1052</v>
      </c>
      <c r="I29" s="828">
        <f>G29+E29</f>
        <v>6884</v>
      </c>
      <c r="J29" s="830">
        <f>I29</f>
        <v>6884</v>
      </c>
      <c r="K29" s="829"/>
      <c r="L29" s="829"/>
      <c r="M29" s="843"/>
    </row>
    <row r="30" spans="1:14" s="832" customFormat="1" ht="12.95" customHeight="1">
      <c r="A30" s="1780"/>
      <c r="B30" s="824" t="s">
        <v>826</v>
      </c>
      <c r="C30" s="826" t="s">
        <v>1748</v>
      </c>
      <c r="D30" s="826" t="s">
        <v>1733</v>
      </c>
      <c r="E30" s="844">
        <f>E70</f>
        <v>84942</v>
      </c>
      <c r="F30" s="826" t="s">
        <v>119</v>
      </c>
      <c r="G30" s="826"/>
      <c r="H30" s="826"/>
      <c r="I30" s="828"/>
      <c r="J30" s="829"/>
      <c r="K30" s="829"/>
      <c r="L30" s="829"/>
      <c r="M30" s="846"/>
    </row>
    <row r="31" spans="1:14" s="832" customFormat="1" ht="12.95" customHeight="1">
      <c r="A31" s="1780"/>
      <c r="B31" s="824"/>
      <c r="C31" s="826"/>
      <c r="D31" s="826"/>
      <c r="E31" s="1777" t="s">
        <v>1738</v>
      </c>
      <c r="F31" s="1777"/>
      <c r="G31" s="1777"/>
      <c r="H31" s="826" t="s">
        <v>1052</v>
      </c>
      <c r="I31" s="847">
        <f xml:space="preserve"> 1/8*25/20*16/12</f>
        <v>0.20833333333333334</v>
      </c>
      <c r="J31" s="829"/>
      <c r="K31" s="829"/>
      <c r="L31" s="829"/>
      <c r="M31" s="843"/>
    </row>
    <row r="32" spans="1:14" s="832" customFormat="1" ht="12.95" customHeight="1">
      <c r="A32" s="1785"/>
      <c r="B32" s="850"/>
      <c r="C32" s="851"/>
      <c r="D32" s="851"/>
      <c r="E32" s="852">
        <f>E30</f>
        <v>84942</v>
      </c>
      <c r="F32" s="851" t="s">
        <v>1705</v>
      </c>
      <c r="G32" s="853">
        <f>I31</f>
        <v>0.20833333333333334</v>
      </c>
      <c r="H32" s="851" t="s">
        <v>1052</v>
      </c>
      <c r="I32" s="874">
        <f>INT(G32*E32)</f>
        <v>17696</v>
      </c>
      <c r="J32" s="855"/>
      <c r="K32" s="856">
        <f>I32</f>
        <v>17696</v>
      </c>
      <c r="L32" s="855"/>
      <c r="M32" s="840"/>
    </row>
    <row r="33" spans="1:14" s="832" customFormat="1" ht="12.95" customHeight="1">
      <c r="A33" s="1784" t="s">
        <v>1753</v>
      </c>
      <c r="B33" s="833" t="s">
        <v>1727</v>
      </c>
      <c r="C33" s="834">
        <v>21089000</v>
      </c>
      <c r="D33" s="835" t="s">
        <v>1705</v>
      </c>
      <c r="E33" s="872">
        <v>2901</v>
      </c>
      <c r="F33" s="835" t="s">
        <v>1705</v>
      </c>
      <c r="G33" s="836" t="s">
        <v>1728</v>
      </c>
      <c r="H33" s="835" t="s">
        <v>1052</v>
      </c>
      <c r="I33" s="837">
        <f>INT(C33*E33/10000000)</f>
        <v>6117</v>
      </c>
      <c r="J33" s="838"/>
      <c r="K33" s="838"/>
      <c r="L33" s="839">
        <f>I33</f>
        <v>6117</v>
      </c>
      <c r="M33" s="873" t="s">
        <v>1754</v>
      </c>
    </row>
    <row r="34" spans="1:14" s="832" customFormat="1" ht="12.95" customHeight="1">
      <c r="A34" s="1780"/>
      <c r="B34" s="824" t="s">
        <v>289</v>
      </c>
      <c r="C34" s="826" t="s">
        <v>1732</v>
      </c>
      <c r="D34" s="826" t="s">
        <v>1733</v>
      </c>
      <c r="E34" s="841" t="s">
        <v>1755</v>
      </c>
      <c r="F34" s="826" t="s">
        <v>1705</v>
      </c>
      <c r="G34" s="842">
        <v>1124.95</v>
      </c>
      <c r="H34" s="826" t="s">
        <v>1052</v>
      </c>
      <c r="I34" s="828">
        <f>8*G34</f>
        <v>8999.6</v>
      </c>
      <c r="J34" s="829"/>
      <c r="K34" s="829"/>
      <c r="L34" s="829"/>
      <c r="M34" s="843"/>
    </row>
    <row r="35" spans="1:14" s="832" customFormat="1" ht="12.95" customHeight="1">
      <c r="A35" s="1780"/>
      <c r="B35" s="824" t="s">
        <v>902</v>
      </c>
      <c r="C35" s="826" t="s">
        <v>1756</v>
      </c>
      <c r="D35" s="826" t="s">
        <v>1733</v>
      </c>
      <c r="E35" s="844">
        <f>I34</f>
        <v>8999.6</v>
      </c>
      <c r="F35" s="826" t="s">
        <v>1705</v>
      </c>
      <c r="G35" s="826">
        <v>0.38</v>
      </c>
      <c r="H35" s="826" t="s">
        <v>1052</v>
      </c>
      <c r="I35" s="828">
        <f>E35*G35</f>
        <v>3419.848</v>
      </c>
      <c r="J35" s="829"/>
      <c r="K35" s="829"/>
      <c r="L35" s="829"/>
      <c r="M35" s="845"/>
    </row>
    <row r="36" spans="1:14" s="832" customFormat="1" ht="12.95" customHeight="1">
      <c r="A36" s="1780"/>
      <c r="B36" s="824"/>
      <c r="C36" s="826" t="s">
        <v>145</v>
      </c>
      <c r="D36" s="826" t="s">
        <v>1733</v>
      </c>
      <c r="E36" s="844">
        <f>I34</f>
        <v>8999.6</v>
      </c>
      <c r="F36" s="826" t="s">
        <v>1736</v>
      </c>
      <c r="G36" s="844">
        <f>I35</f>
        <v>3419.848</v>
      </c>
      <c r="H36" s="826" t="s">
        <v>1052</v>
      </c>
      <c r="I36" s="828">
        <f>INT(G36+E36)</f>
        <v>12419</v>
      </c>
      <c r="J36" s="830">
        <f>I36</f>
        <v>12419</v>
      </c>
      <c r="K36" s="829"/>
      <c r="L36" s="829"/>
      <c r="M36" s="843"/>
    </row>
    <row r="37" spans="1:14" s="832" customFormat="1" ht="12.95" customHeight="1">
      <c r="A37" s="1780"/>
      <c r="B37" s="824" t="s">
        <v>826</v>
      </c>
      <c r="C37" s="826" t="s">
        <v>1748</v>
      </c>
      <c r="D37" s="826" t="s">
        <v>1733</v>
      </c>
      <c r="E37" s="844">
        <f>E70</f>
        <v>84942</v>
      </c>
      <c r="F37" s="826" t="s">
        <v>119</v>
      </c>
      <c r="G37" s="826"/>
      <c r="H37" s="826"/>
      <c r="I37" s="828"/>
      <c r="J37" s="829"/>
      <c r="K37" s="829"/>
      <c r="L37" s="829"/>
      <c r="M37" s="846"/>
    </row>
    <row r="38" spans="1:14" s="832" customFormat="1" ht="12.95" customHeight="1">
      <c r="A38" s="1780"/>
      <c r="B38" s="824"/>
      <c r="C38" s="826"/>
      <c r="D38" s="826"/>
      <c r="E38" s="1777" t="s">
        <v>1738</v>
      </c>
      <c r="F38" s="1777"/>
      <c r="G38" s="1777"/>
      <c r="H38" s="826" t="s">
        <v>1052</v>
      </c>
      <c r="I38" s="847">
        <f xml:space="preserve"> 1/8*25/20*16/12</f>
        <v>0.20833333333333334</v>
      </c>
      <c r="J38" s="829"/>
      <c r="K38" s="829"/>
      <c r="L38" s="829"/>
      <c r="M38" s="843"/>
    </row>
    <row r="39" spans="1:14" s="832" customFormat="1" ht="12.95" customHeight="1">
      <c r="A39" s="1785"/>
      <c r="B39" s="850"/>
      <c r="C39" s="851"/>
      <c r="D39" s="851"/>
      <c r="E39" s="852">
        <f>E37</f>
        <v>84942</v>
      </c>
      <c r="F39" s="851" t="s">
        <v>1705</v>
      </c>
      <c r="G39" s="853">
        <f>I38</f>
        <v>0.20833333333333334</v>
      </c>
      <c r="H39" s="851" t="s">
        <v>1052</v>
      </c>
      <c r="I39" s="874">
        <f>INT(G39*E39)</f>
        <v>17696</v>
      </c>
      <c r="J39" s="855"/>
      <c r="K39" s="856">
        <f>I39</f>
        <v>17696</v>
      </c>
      <c r="L39" s="855"/>
      <c r="M39" s="840"/>
      <c r="N39" s="875"/>
    </row>
    <row r="40" spans="1:14" s="832" customFormat="1" ht="12.95" customHeight="1">
      <c r="A40" s="1784" t="s">
        <v>1757</v>
      </c>
      <c r="B40" s="833" t="s">
        <v>1727</v>
      </c>
      <c r="C40" s="834">
        <v>39000000</v>
      </c>
      <c r="D40" s="835" t="s">
        <v>1705</v>
      </c>
      <c r="E40" s="872">
        <v>1663</v>
      </c>
      <c r="F40" s="835" t="s">
        <v>1705</v>
      </c>
      <c r="G40" s="836" t="s">
        <v>1728</v>
      </c>
      <c r="H40" s="835" t="s">
        <v>1052</v>
      </c>
      <c r="I40" s="837">
        <f>INT(C40*E40/10000000)</f>
        <v>6485</v>
      </c>
      <c r="J40" s="838"/>
      <c r="K40" s="838"/>
      <c r="L40" s="839">
        <f>I40</f>
        <v>6485</v>
      </c>
      <c r="M40" s="873" t="s">
        <v>1758</v>
      </c>
    </row>
    <row r="41" spans="1:14" s="832" customFormat="1" ht="12.95" customHeight="1">
      <c r="A41" s="1780"/>
      <c r="B41" s="824" t="s">
        <v>289</v>
      </c>
      <c r="C41" s="826" t="s">
        <v>1732</v>
      </c>
      <c r="D41" s="826" t="s">
        <v>1733</v>
      </c>
      <c r="E41" s="841" t="s">
        <v>1759</v>
      </c>
      <c r="F41" s="826" t="s">
        <v>1705</v>
      </c>
      <c r="G41" s="842">
        <v>1124.95</v>
      </c>
      <c r="H41" s="826" t="s">
        <v>1052</v>
      </c>
      <c r="I41" s="828">
        <f>27.6*G41</f>
        <v>31048.620000000003</v>
      </c>
      <c r="J41" s="829"/>
      <c r="K41" s="829"/>
      <c r="L41" s="829"/>
      <c r="M41" s="843"/>
    </row>
    <row r="42" spans="1:14" s="832" customFormat="1" ht="12.95" customHeight="1">
      <c r="A42" s="1780"/>
      <c r="B42" s="824" t="s">
        <v>902</v>
      </c>
      <c r="C42" s="826" t="s">
        <v>1760</v>
      </c>
      <c r="D42" s="826" t="s">
        <v>1733</v>
      </c>
      <c r="E42" s="844">
        <f>I41</f>
        <v>31048.620000000003</v>
      </c>
      <c r="F42" s="826" t="s">
        <v>1705</v>
      </c>
      <c r="G42" s="826">
        <v>0.16</v>
      </c>
      <c r="H42" s="826" t="s">
        <v>1052</v>
      </c>
      <c r="I42" s="828">
        <f>E42*G42</f>
        <v>4967.7792000000009</v>
      </c>
      <c r="J42" s="829"/>
      <c r="K42" s="829"/>
      <c r="L42" s="829"/>
      <c r="M42" s="845"/>
    </row>
    <row r="43" spans="1:14" s="832" customFormat="1" ht="12.95" customHeight="1">
      <c r="A43" s="1780"/>
      <c r="B43" s="824"/>
      <c r="C43" s="826" t="s">
        <v>145</v>
      </c>
      <c r="D43" s="826" t="s">
        <v>1733</v>
      </c>
      <c r="E43" s="844">
        <f>I41</f>
        <v>31048.620000000003</v>
      </c>
      <c r="F43" s="826" t="s">
        <v>1736</v>
      </c>
      <c r="G43" s="844">
        <f>I42</f>
        <v>4967.7792000000009</v>
      </c>
      <c r="H43" s="826" t="s">
        <v>1052</v>
      </c>
      <c r="I43" s="828">
        <f>G43+E43</f>
        <v>36016.3992</v>
      </c>
      <c r="J43" s="830">
        <f>I43</f>
        <v>36016.3992</v>
      </c>
      <c r="K43" s="829"/>
      <c r="L43" s="829"/>
      <c r="M43" s="843"/>
    </row>
    <row r="44" spans="1:14" s="832" customFormat="1" ht="12.95" customHeight="1">
      <c r="A44" s="1780"/>
      <c r="B44" s="824" t="s">
        <v>826</v>
      </c>
      <c r="C44" s="826" t="s">
        <v>1743</v>
      </c>
      <c r="D44" s="826" t="s">
        <v>1733</v>
      </c>
      <c r="E44" s="844">
        <f>E77</f>
        <v>98693</v>
      </c>
      <c r="F44" s="826" t="s">
        <v>119</v>
      </c>
      <c r="G44" s="826"/>
      <c r="H44" s="826"/>
      <c r="I44" s="828"/>
      <c r="J44" s="829"/>
      <c r="K44" s="829"/>
      <c r="L44" s="829"/>
      <c r="M44" s="846"/>
    </row>
    <row r="45" spans="1:14" s="832" customFormat="1" ht="12.95" customHeight="1">
      <c r="A45" s="1780"/>
      <c r="B45" s="824"/>
      <c r="C45" s="826"/>
      <c r="D45" s="826"/>
      <c r="E45" s="1777" t="s">
        <v>1738</v>
      </c>
      <c r="F45" s="1777"/>
      <c r="G45" s="1777"/>
      <c r="H45" s="826" t="s">
        <v>1052</v>
      </c>
      <c r="I45" s="847">
        <f>1/8*25/20*16/12</f>
        <v>0.20833333333333334</v>
      </c>
      <c r="J45" s="829"/>
      <c r="K45" s="829"/>
      <c r="L45" s="829"/>
      <c r="M45" s="843"/>
    </row>
    <row r="46" spans="1:14" s="832" customFormat="1" ht="12.95" customHeight="1">
      <c r="A46" s="1780"/>
      <c r="B46" s="824"/>
      <c r="C46" s="826"/>
      <c r="D46" s="826"/>
      <c r="E46" s="844">
        <f>E44</f>
        <v>98693</v>
      </c>
      <c r="F46" s="826" t="s">
        <v>1705</v>
      </c>
      <c r="G46" s="860">
        <f>I45</f>
        <v>0.20833333333333334</v>
      </c>
      <c r="H46" s="826" t="s">
        <v>1052</v>
      </c>
      <c r="I46" s="828">
        <f>INT(G46*E46)</f>
        <v>20561</v>
      </c>
      <c r="J46" s="829"/>
      <c r="K46" s="830">
        <f>I46</f>
        <v>20561</v>
      </c>
      <c r="L46" s="829"/>
      <c r="M46" s="840"/>
    </row>
    <row r="47" spans="1:14" s="832" customFormat="1" ht="12.95" customHeight="1">
      <c r="A47" s="849"/>
      <c r="B47" s="850"/>
      <c r="C47" s="851"/>
      <c r="D47" s="851"/>
      <c r="E47" s="852"/>
      <c r="F47" s="851"/>
      <c r="G47" s="853"/>
      <c r="H47" s="851"/>
      <c r="I47" s="874"/>
      <c r="J47" s="855"/>
      <c r="K47" s="856"/>
      <c r="L47" s="855"/>
      <c r="M47" s="831"/>
    </row>
    <row r="48" spans="1:14" ht="12.95" customHeight="1">
      <c r="A48" s="876"/>
      <c r="B48" s="877"/>
      <c r="C48" s="878"/>
      <c r="D48" s="878"/>
      <c r="E48" s="879"/>
      <c r="F48" s="878"/>
      <c r="G48" s="880"/>
      <c r="H48" s="878"/>
      <c r="I48" s="881"/>
      <c r="J48" s="882"/>
      <c r="K48" s="883"/>
      <c r="L48" s="882"/>
      <c r="M48" s="884"/>
    </row>
    <row r="49" spans="1:13" ht="12.95" customHeight="1">
      <c r="A49" s="876"/>
      <c r="B49" s="877"/>
      <c r="C49" s="878"/>
      <c r="D49" s="878"/>
      <c r="E49" s="879"/>
      <c r="F49" s="878"/>
      <c r="G49" s="880"/>
      <c r="H49" s="878"/>
      <c r="I49" s="881"/>
      <c r="J49" s="882"/>
      <c r="K49" s="883"/>
      <c r="L49" s="882"/>
      <c r="M49" s="884"/>
    </row>
    <row r="50" spans="1:13" ht="12.95" customHeight="1">
      <c r="A50" s="876"/>
      <c r="B50" s="877"/>
      <c r="C50" s="878"/>
      <c r="D50" s="878"/>
      <c r="E50" s="879"/>
      <c r="F50" s="878"/>
      <c r="G50" s="880"/>
      <c r="H50" s="878"/>
      <c r="I50" s="881"/>
      <c r="J50" s="882"/>
      <c r="K50" s="883"/>
      <c r="L50" s="882"/>
      <c r="M50" s="884"/>
    </row>
    <row r="51" spans="1:13" ht="12.95" customHeight="1">
      <c r="A51" s="876"/>
      <c r="B51" s="877"/>
      <c r="C51" s="878"/>
      <c r="D51" s="878"/>
      <c r="E51" s="879"/>
      <c r="F51" s="878"/>
      <c r="G51" s="880"/>
      <c r="H51" s="878"/>
      <c r="I51" s="881"/>
      <c r="J51" s="882"/>
      <c r="K51" s="883"/>
      <c r="L51" s="882"/>
      <c r="M51" s="884"/>
    </row>
    <row r="52" spans="1:13" ht="12.95" customHeight="1">
      <c r="A52" s="876"/>
      <c r="B52" s="877"/>
      <c r="C52" s="878"/>
      <c r="D52" s="878"/>
      <c r="E52" s="879"/>
      <c r="F52" s="878"/>
      <c r="G52" s="880"/>
      <c r="H52" s="878"/>
      <c r="I52" s="881"/>
      <c r="J52" s="882"/>
      <c r="K52" s="883"/>
      <c r="L52" s="882"/>
      <c r="M52" s="884"/>
    </row>
    <row r="53" spans="1:13" ht="12.95" customHeight="1">
      <c r="A53" s="876"/>
      <c r="B53" s="877"/>
      <c r="C53" s="878"/>
      <c r="D53" s="878"/>
      <c r="E53" s="879"/>
      <c r="F53" s="878"/>
      <c r="G53" s="880"/>
      <c r="H53" s="878"/>
      <c r="I53" s="881"/>
      <c r="J53" s="882"/>
      <c r="K53" s="883"/>
      <c r="L53" s="882"/>
      <c r="M53" s="884"/>
    </row>
    <row r="54" spans="1:13" ht="12.95" customHeight="1" thickBot="1">
      <c r="A54" s="885"/>
      <c r="B54" s="886"/>
      <c r="C54" s="887"/>
      <c r="D54" s="887"/>
      <c r="E54" s="888"/>
      <c r="F54" s="887"/>
      <c r="G54" s="889"/>
      <c r="H54" s="887"/>
      <c r="I54" s="890"/>
      <c r="J54" s="891"/>
      <c r="K54" s="892"/>
      <c r="L54" s="891"/>
      <c r="M54" s="893"/>
    </row>
    <row r="55" spans="1:13" ht="12.95" customHeight="1">
      <c r="A55" s="1793" t="s">
        <v>1761</v>
      </c>
      <c r="B55" s="894"/>
      <c r="C55" s="895"/>
      <c r="D55" s="895"/>
      <c r="E55" s="895"/>
      <c r="F55" s="895"/>
      <c r="G55" s="895"/>
      <c r="H55" s="895"/>
      <c r="I55" s="896"/>
      <c r="J55" s="897"/>
      <c r="K55" s="883"/>
      <c r="L55" s="882"/>
      <c r="M55" s="898"/>
    </row>
    <row r="56" spans="1:13" s="832" customFormat="1" ht="12.95" customHeight="1">
      <c r="A56" s="1794"/>
      <c r="B56" s="1776" t="s">
        <v>1762</v>
      </c>
      <c r="C56" s="1777"/>
      <c r="D56" s="1777"/>
      <c r="E56" s="1777"/>
      <c r="F56" s="1777"/>
      <c r="G56" s="1777"/>
      <c r="H56" s="1777"/>
      <c r="I56" s="1778"/>
      <c r="J56" s="899">
        <v>80000</v>
      </c>
      <c r="K56" s="830"/>
      <c r="L56" s="829"/>
      <c r="M56" s="843" t="s">
        <v>1763</v>
      </c>
    </row>
    <row r="57" spans="1:13" s="832" customFormat="1" ht="12.95" customHeight="1">
      <c r="A57" s="1794"/>
      <c r="B57" s="1776" t="s">
        <v>1764</v>
      </c>
      <c r="C57" s="1777"/>
      <c r="D57" s="1777"/>
      <c r="E57" s="1777"/>
      <c r="F57" s="1777"/>
      <c r="G57" s="1777"/>
      <c r="H57" s="1777"/>
      <c r="I57" s="1778"/>
      <c r="J57" s="899">
        <v>60000</v>
      </c>
      <c r="K57" s="830"/>
      <c r="L57" s="829"/>
      <c r="M57" s="843" t="s">
        <v>1763</v>
      </c>
    </row>
    <row r="58" spans="1:13" s="832" customFormat="1" ht="12.95" customHeight="1">
      <c r="A58" s="1794"/>
      <c r="B58" s="1776" t="s">
        <v>1765</v>
      </c>
      <c r="C58" s="1777"/>
      <c r="D58" s="1777"/>
      <c r="E58" s="1777"/>
      <c r="F58" s="1777"/>
      <c r="G58" s="1777"/>
      <c r="H58" s="1777"/>
      <c r="I58" s="1778"/>
      <c r="J58" s="899">
        <v>400</v>
      </c>
      <c r="K58" s="830"/>
      <c r="L58" s="829"/>
      <c r="M58" s="840" t="s">
        <v>1766</v>
      </c>
    </row>
    <row r="59" spans="1:13" s="832" customFormat="1" ht="12.95" customHeight="1">
      <c r="A59" s="1794"/>
      <c r="B59" s="1776" t="s">
        <v>1767</v>
      </c>
      <c r="C59" s="1777"/>
      <c r="D59" s="1777"/>
      <c r="E59" s="1777"/>
      <c r="F59" s="1777"/>
      <c r="G59" s="1777"/>
      <c r="H59" s="1777"/>
      <c r="I59" s="1778"/>
      <c r="J59" s="899">
        <v>25000</v>
      </c>
      <c r="K59" s="830"/>
      <c r="L59" s="829"/>
      <c r="M59" s="840" t="s">
        <v>1766</v>
      </c>
    </row>
    <row r="60" spans="1:13" s="832" customFormat="1" ht="12.95" customHeight="1">
      <c r="A60" s="1794"/>
      <c r="B60" s="1776" t="s">
        <v>1768</v>
      </c>
      <c r="C60" s="1777"/>
      <c r="D60" s="1777"/>
      <c r="E60" s="1777"/>
      <c r="F60" s="1777"/>
      <c r="G60" s="1777"/>
      <c r="H60" s="1777"/>
      <c r="I60" s="1778"/>
      <c r="J60" s="899">
        <v>4000</v>
      </c>
      <c r="K60" s="830"/>
      <c r="L60" s="829"/>
      <c r="M60" s="843" t="s">
        <v>1763</v>
      </c>
    </row>
    <row r="61" spans="1:13" s="832" customFormat="1" ht="12.95" customHeight="1">
      <c r="A61" s="1794"/>
      <c r="B61" s="1781" t="s">
        <v>1769</v>
      </c>
      <c r="C61" s="1777"/>
      <c r="D61" s="1777"/>
      <c r="E61" s="1777"/>
      <c r="F61" s="1777"/>
      <c r="G61" s="1777"/>
      <c r="H61" s="1777"/>
      <c r="I61" s="1778"/>
      <c r="J61" s="899">
        <v>27000</v>
      </c>
      <c r="K61" s="830"/>
      <c r="L61" s="829"/>
      <c r="M61" s="840" t="s">
        <v>1770</v>
      </c>
    </row>
    <row r="62" spans="1:13" s="832" customFormat="1" ht="12.95" customHeight="1">
      <c r="A62" s="1794"/>
      <c r="B62" s="1776" t="s">
        <v>1771</v>
      </c>
      <c r="C62" s="1777"/>
      <c r="D62" s="1777"/>
      <c r="E62" s="1777"/>
      <c r="F62" s="1777"/>
      <c r="G62" s="1777"/>
      <c r="H62" s="1777"/>
      <c r="I62" s="1778"/>
      <c r="J62" s="899">
        <v>10000</v>
      </c>
      <c r="K62" s="830"/>
      <c r="L62" s="829"/>
      <c r="M62" s="843" t="s">
        <v>1763</v>
      </c>
    </row>
    <row r="63" spans="1:13" s="832" customFormat="1" ht="12.95" customHeight="1">
      <c r="A63" s="1794"/>
      <c r="B63" s="1776" t="s">
        <v>1772</v>
      </c>
      <c r="C63" s="1777"/>
      <c r="D63" s="1777"/>
      <c r="E63" s="1777"/>
      <c r="F63" s="1777"/>
      <c r="G63" s="1777"/>
      <c r="H63" s="1777"/>
      <c r="I63" s="1778"/>
      <c r="J63" s="899">
        <v>40000</v>
      </c>
      <c r="K63" s="830"/>
      <c r="L63" s="829"/>
      <c r="M63" s="843" t="s">
        <v>1763</v>
      </c>
    </row>
    <row r="64" spans="1:13" s="832" customFormat="1" ht="12.95" customHeight="1">
      <c r="A64" s="1794"/>
      <c r="B64" s="1776" t="s">
        <v>1773</v>
      </c>
      <c r="C64" s="1777"/>
      <c r="D64" s="1777"/>
      <c r="E64" s="1777"/>
      <c r="F64" s="1777"/>
      <c r="G64" s="1777"/>
      <c r="H64" s="1777"/>
      <c r="I64" s="1778"/>
      <c r="J64" s="899">
        <v>850</v>
      </c>
      <c r="K64" s="830"/>
      <c r="L64" s="829"/>
      <c r="M64" s="840" t="s">
        <v>1766</v>
      </c>
    </row>
    <row r="65" spans="1:13" s="832" customFormat="1" ht="12.95" customHeight="1">
      <c r="A65" s="1794"/>
      <c r="B65" s="1776" t="s">
        <v>1774</v>
      </c>
      <c r="C65" s="1777"/>
      <c r="D65" s="1777"/>
      <c r="E65" s="1777"/>
      <c r="F65" s="1777"/>
      <c r="G65" s="1777"/>
      <c r="H65" s="1777"/>
      <c r="I65" s="1778"/>
      <c r="J65" s="899">
        <v>700</v>
      </c>
      <c r="K65" s="830"/>
      <c r="L65" s="829"/>
      <c r="M65" s="840" t="s">
        <v>1766</v>
      </c>
    </row>
    <row r="66" spans="1:13" s="832" customFormat="1" ht="12.95" customHeight="1">
      <c r="A66" s="1794"/>
      <c r="B66" s="1776" t="s">
        <v>1775</v>
      </c>
      <c r="C66" s="1777"/>
      <c r="D66" s="1777"/>
      <c r="E66" s="1777"/>
      <c r="F66" s="1777"/>
      <c r="G66" s="1777"/>
      <c r="H66" s="1777"/>
      <c r="I66" s="1778"/>
      <c r="J66" s="899">
        <v>600</v>
      </c>
      <c r="K66" s="830"/>
      <c r="L66" s="829"/>
      <c r="M66" s="840" t="s">
        <v>1766</v>
      </c>
    </row>
    <row r="67" spans="1:13" s="832" customFormat="1" ht="12.95" customHeight="1">
      <c r="A67" s="1794"/>
      <c r="B67" s="1776" t="s">
        <v>1776</v>
      </c>
      <c r="C67" s="1777"/>
      <c r="D67" s="1777"/>
      <c r="E67" s="1777"/>
      <c r="F67" s="1777"/>
      <c r="G67" s="1777"/>
      <c r="H67" s="1777"/>
      <c r="I67" s="1778"/>
      <c r="J67" s="899">
        <v>3500</v>
      </c>
      <c r="K67" s="830"/>
      <c r="L67" s="829"/>
      <c r="M67" s="840" t="s">
        <v>1766</v>
      </c>
    </row>
    <row r="68" spans="1:13" s="832" customFormat="1" ht="12.95" customHeight="1">
      <c r="A68" s="1795"/>
      <c r="B68" s="1776" t="s">
        <v>1777</v>
      </c>
      <c r="C68" s="1777"/>
      <c r="D68" s="1777"/>
      <c r="E68" s="1777"/>
      <c r="F68" s="1777"/>
      <c r="G68" s="1777"/>
      <c r="H68" s="1777"/>
      <c r="I68" s="1778"/>
      <c r="J68" s="899">
        <v>300</v>
      </c>
      <c r="K68" s="830"/>
      <c r="L68" s="829"/>
      <c r="M68" s="840" t="s">
        <v>1766</v>
      </c>
    </row>
    <row r="69" spans="1:13" s="832" customFormat="1" ht="12.95" customHeight="1">
      <c r="A69" s="1788" t="s">
        <v>1778</v>
      </c>
      <c r="B69" s="1791" t="s">
        <v>1737</v>
      </c>
      <c r="C69" s="1792"/>
      <c r="D69" s="835" t="s">
        <v>1733</v>
      </c>
      <c r="E69" s="900">
        <v>71594</v>
      </c>
      <c r="F69" s="835" t="s">
        <v>119</v>
      </c>
      <c r="G69" s="835"/>
      <c r="H69" s="835"/>
      <c r="I69" s="837"/>
      <c r="J69" s="901"/>
      <c r="K69" s="839">
        <f t="shared" ref="K69:K77" si="0">E69</f>
        <v>71594</v>
      </c>
      <c r="L69" s="838"/>
      <c r="M69" s="873" t="s">
        <v>1779</v>
      </c>
    </row>
    <row r="70" spans="1:13" s="832" customFormat="1" ht="12.95" customHeight="1">
      <c r="A70" s="1780"/>
      <c r="B70" s="1789" t="s">
        <v>1748</v>
      </c>
      <c r="C70" s="1790"/>
      <c r="D70" s="826" t="s">
        <v>1733</v>
      </c>
      <c r="E70" s="844">
        <v>84942</v>
      </c>
      <c r="F70" s="826" t="s">
        <v>119</v>
      </c>
      <c r="G70" s="826"/>
      <c r="H70" s="826"/>
      <c r="I70" s="828"/>
      <c r="J70" s="829"/>
      <c r="K70" s="830">
        <f t="shared" si="0"/>
        <v>84942</v>
      </c>
      <c r="L70" s="829"/>
      <c r="M70" s="873" t="s">
        <v>1779</v>
      </c>
    </row>
    <row r="71" spans="1:13" s="832" customFormat="1" ht="12.95" customHeight="1">
      <c r="A71" s="1780"/>
      <c r="B71" s="1789"/>
      <c r="C71" s="1790"/>
      <c r="D71" s="826" t="s">
        <v>1733</v>
      </c>
      <c r="E71" s="902"/>
      <c r="F71" s="826"/>
      <c r="G71" s="826"/>
      <c r="H71" s="826"/>
      <c r="I71" s="828"/>
      <c r="J71" s="829"/>
      <c r="K71" s="830">
        <f t="shared" si="0"/>
        <v>0</v>
      </c>
      <c r="L71" s="829"/>
      <c r="M71" s="873" t="s">
        <v>1779</v>
      </c>
    </row>
    <row r="72" spans="1:13" s="832" customFormat="1" ht="12.95" customHeight="1">
      <c r="A72" s="1780"/>
      <c r="B72" s="1789" t="s">
        <v>263</v>
      </c>
      <c r="C72" s="1790"/>
      <c r="D72" s="826" t="s">
        <v>1733</v>
      </c>
      <c r="E72" s="903">
        <v>84404</v>
      </c>
      <c r="F72" s="826" t="s">
        <v>119</v>
      </c>
      <c r="G72" s="826"/>
      <c r="H72" s="826"/>
      <c r="I72" s="828"/>
      <c r="J72" s="829"/>
      <c r="K72" s="830">
        <f t="shared" si="0"/>
        <v>84404</v>
      </c>
      <c r="L72" s="829"/>
      <c r="M72" s="873" t="s">
        <v>1779</v>
      </c>
    </row>
    <row r="73" spans="1:13" s="832" customFormat="1" ht="12.95" customHeight="1">
      <c r="A73" s="1780"/>
      <c r="B73" s="1789" t="s">
        <v>257</v>
      </c>
      <c r="C73" s="1790"/>
      <c r="D73" s="826" t="s">
        <v>1733</v>
      </c>
      <c r="E73" s="903">
        <v>68965</v>
      </c>
      <c r="F73" s="826" t="s">
        <v>119</v>
      </c>
      <c r="G73" s="826"/>
      <c r="H73" s="826"/>
      <c r="I73" s="828"/>
      <c r="J73" s="829"/>
      <c r="K73" s="830">
        <f t="shared" si="0"/>
        <v>68965</v>
      </c>
      <c r="L73" s="829"/>
      <c r="M73" s="873" t="s">
        <v>1779</v>
      </c>
    </row>
    <row r="74" spans="1:13" s="832" customFormat="1" ht="12.95" customHeight="1">
      <c r="A74" s="1780"/>
      <c r="B74" s="1789" t="s">
        <v>1780</v>
      </c>
      <c r="C74" s="1790"/>
      <c r="D74" s="826" t="s">
        <v>1733</v>
      </c>
      <c r="E74" s="903">
        <v>79533</v>
      </c>
      <c r="F74" s="826" t="s">
        <v>119</v>
      </c>
      <c r="G74" s="826"/>
      <c r="H74" s="826"/>
      <c r="I74" s="828"/>
      <c r="J74" s="829"/>
      <c r="K74" s="830">
        <f t="shared" si="0"/>
        <v>79533</v>
      </c>
      <c r="L74" s="829"/>
      <c r="M74" s="873" t="s">
        <v>1779</v>
      </c>
    </row>
    <row r="75" spans="1:13" s="832" customFormat="1" ht="12.95" customHeight="1">
      <c r="A75" s="1780"/>
      <c r="B75" s="1789" t="s">
        <v>1712</v>
      </c>
      <c r="C75" s="1790"/>
      <c r="D75" s="826" t="s">
        <v>1733</v>
      </c>
      <c r="E75" s="903">
        <v>92218</v>
      </c>
      <c r="F75" s="826" t="s">
        <v>119</v>
      </c>
      <c r="G75" s="826"/>
      <c r="H75" s="826"/>
      <c r="I75" s="828"/>
      <c r="J75" s="829"/>
      <c r="K75" s="830">
        <f t="shared" si="0"/>
        <v>92218</v>
      </c>
      <c r="L75" s="829"/>
      <c r="M75" s="873" t="s">
        <v>1779</v>
      </c>
    </row>
    <row r="76" spans="1:13" s="832" customFormat="1" ht="12.95" customHeight="1">
      <c r="A76" s="1780"/>
      <c r="B76" s="1789" t="s">
        <v>1781</v>
      </c>
      <c r="C76" s="1790"/>
      <c r="D76" s="826" t="s">
        <v>1733</v>
      </c>
      <c r="E76" s="844">
        <v>81297</v>
      </c>
      <c r="F76" s="826" t="s">
        <v>119</v>
      </c>
      <c r="G76" s="826"/>
      <c r="H76" s="826"/>
      <c r="I76" s="828"/>
      <c r="J76" s="829"/>
      <c r="K76" s="830">
        <f t="shared" si="0"/>
        <v>81297</v>
      </c>
      <c r="L76" s="829"/>
      <c r="M76" s="873" t="s">
        <v>1782</v>
      </c>
    </row>
    <row r="77" spans="1:13" s="832" customFormat="1" ht="12.95" customHeight="1">
      <c r="A77" s="1785"/>
      <c r="B77" s="1786" t="s">
        <v>1743</v>
      </c>
      <c r="C77" s="1787"/>
      <c r="D77" s="851" t="s">
        <v>1733</v>
      </c>
      <c r="E77" s="852">
        <v>98693</v>
      </c>
      <c r="F77" s="851" t="s">
        <v>119</v>
      </c>
      <c r="G77" s="851"/>
      <c r="H77" s="851"/>
      <c r="I77" s="874"/>
      <c r="J77" s="855"/>
      <c r="K77" s="856">
        <f t="shared" si="0"/>
        <v>98693</v>
      </c>
      <c r="L77" s="855"/>
      <c r="M77" s="873" t="s">
        <v>1779</v>
      </c>
    </row>
    <row r="78" spans="1:13" s="832" customFormat="1" ht="12.95" customHeight="1">
      <c r="A78" s="823"/>
      <c r="B78" s="824"/>
      <c r="C78" s="826"/>
      <c r="D78" s="826"/>
      <c r="E78" s="826"/>
      <c r="F78" s="826"/>
      <c r="G78" s="826"/>
      <c r="H78" s="826"/>
      <c r="I78" s="828"/>
      <c r="J78" s="829"/>
      <c r="K78" s="829"/>
      <c r="L78" s="829"/>
      <c r="M78" s="843"/>
    </row>
    <row r="79" spans="1:13" s="832" customFormat="1" ht="12.95" customHeight="1">
      <c r="A79" s="823"/>
      <c r="B79" s="824"/>
      <c r="C79" s="826"/>
      <c r="D79" s="826"/>
      <c r="E79" s="826"/>
      <c r="F79" s="826"/>
      <c r="G79" s="826"/>
      <c r="H79" s="826"/>
      <c r="I79" s="828"/>
      <c r="J79" s="829"/>
      <c r="K79" s="829"/>
      <c r="L79" s="829"/>
      <c r="M79" s="843"/>
    </row>
    <row r="80" spans="1:13" ht="12.95" customHeight="1">
      <c r="A80" s="876"/>
      <c r="B80" s="877"/>
      <c r="C80" s="878"/>
      <c r="D80" s="878"/>
      <c r="E80" s="878"/>
      <c r="F80" s="878"/>
      <c r="G80" s="878"/>
      <c r="H80" s="878"/>
      <c r="I80" s="881"/>
      <c r="J80" s="882"/>
      <c r="K80" s="882"/>
      <c r="L80" s="882"/>
      <c r="M80" s="898"/>
    </row>
    <row r="81" spans="1:13" ht="12.95" customHeight="1">
      <c r="A81" s="876"/>
      <c r="B81" s="877"/>
      <c r="C81" s="878"/>
      <c r="D81" s="878"/>
      <c r="E81" s="878"/>
      <c r="F81" s="878"/>
      <c r="G81" s="878"/>
      <c r="H81" s="878"/>
      <c r="I81" s="881"/>
      <c r="J81" s="882"/>
      <c r="K81" s="882"/>
      <c r="L81" s="882"/>
      <c r="M81" s="898"/>
    </row>
    <row r="82" spans="1:13" ht="12.95" customHeight="1">
      <c r="A82" s="876"/>
      <c r="B82" s="877"/>
      <c r="C82" s="878"/>
      <c r="D82" s="878"/>
      <c r="E82" s="878"/>
      <c r="F82" s="878"/>
      <c r="G82" s="878"/>
      <c r="H82" s="878"/>
      <c r="I82" s="881"/>
      <c r="J82" s="882"/>
      <c r="K82" s="882"/>
      <c r="L82" s="882"/>
      <c r="M82" s="898"/>
    </row>
    <row r="83" spans="1:13" ht="12.95" customHeight="1">
      <c r="A83" s="876"/>
      <c r="B83" s="877"/>
      <c r="C83" s="878"/>
      <c r="D83" s="878"/>
      <c r="E83" s="878"/>
      <c r="F83" s="878"/>
      <c r="G83" s="878"/>
      <c r="H83" s="878"/>
      <c r="I83" s="881"/>
      <c r="J83" s="882"/>
      <c r="K83" s="882"/>
      <c r="L83" s="882"/>
      <c r="M83" s="898"/>
    </row>
    <row r="84" spans="1:13" ht="12.95" customHeight="1">
      <c r="A84" s="876"/>
      <c r="B84" s="877"/>
      <c r="C84" s="878"/>
      <c r="D84" s="878"/>
      <c r="E84" s="878"/>
      <c r="F84" s="878"/>
      <c r="G84" s="878"/>
      <c r="H84" s="878"/>
      <c r="I84" s="881"/>
      <c r="J84" s="882"/>
      <c r="K84" s="882"/>
      <c r="L84" s="882"/>
      <c r="M84" s="898"/>
    </row>
    <row r="85" spans="1:13" ht="12.95" customHeight="1">
      <c r="A85" s="876"/>
      <c r="B85" s="877"/>
      <c r="C85" s="878"/>
      <c r="D85" s="878"/>
      <c r="E85" s="878"/>
      <c r="F85" s="878"/>
      <c r="G85" s="878"/>
      <c r="H85" s="878"/>
      <c r="I85" s="881"/>
      <c r="J85" s="882"/>
      <c r="K85" s="882"/>
      <c r="L85" s="882"/>
      <c r="M85" s="898"/>
    </row>
    <row r="86" spans="1:13" ht="12.95" customHeight="1">
      <c r="A86" s="876"/>
      <c r="B86" s="877"/>
      <c r="C86" s="878"/>
      <c r="D86" s="878"/>
      <c r="E86" s="878"/>
      <c r="F86" s="878"/>
      <c r="G86" s="878"/>
      <c r="H86" s="878"/>
      <c r="I86" s="881"/>
      <c r="J86" s="882"/>
      <c r="K86" s="882"/>
      <c r="L86" s="882"/>
      <c r="M86" s="898"/>
    </row>
    <row r="87" spans="1:13" ht="12.95" customHeight="1">
      <c r="A87" s="876"/>
      <c r="B87" s="877"/>
      <c r="C87" s="878"/>
      <c r="D87" s="878"/>
      <c r="E87" s="878"/>
      <c r="F87" s="878"/>
      <c r="G87" s="878"/>
      <c r="H87" s="878"/>
      <c r="I87" s="881"/>
      <c r="J87" s="882"/>
      <c r="K87" s="882"/>
      <c r="L87" s="882"/>
      <c r="M87" s="898"/>
    </row>
    <row r="88" spans="1:13" ht="12.95" customHeight="1">
      <c r="A88" s="876"/>
      <c r="B88" s="877"/>
      <c r="C88" s="878"/>
      <c r="D88" s="878"/>
      <c r="E88" s="878"/>
      <c r="F88" s="878"/>
      <c r="G88" s="878"/>
      <c r="H88" s="878"/>
      <c r="I88" s="881"/>
      <c r="J88" s="882"/>
      <c r="K88" s="882"/>
      <c r="L88" s="882"/>
      <c r="M88" s="898"/>
    </row>
    <row r="89" spans="1:13" ht="12.95" customHeight="1">
      <c r="A89" s="876"/>
      <c r="B89" s="877"/>
      <c r="C89" s="878"/>
      <c r="D89" s="878"/>
      <c r="E89" s="878"/>
      <c r="F89" s="878"/>
      <c r="G89" s="878"/>
      <c r="H89" s="878"/>
      <c r="I89" s="881"/>
      <c r="J89" s="882"/>
      <c r="K89" s="882"/>
      <c r="L89" s="882"/>
      <c r="M89" s="898"/>
    </row>
    <row r="90" spans="1:13" ht="12.95" customHeight="1">
      <c r="A90" s="876"/>
      <c r="B90" s="877"/>
      <c r="C90" s="878"/>
      <c r="D90" s="878"/>
      <c r="E90" s="878"/>
      <c r="F90" s="878"/>
      <c r="G90" s="878"/>
      <c r="H90" s="878"/>
      <c r="I90" s="881"/>
      <c r="J90" s="882"/>
      <c r="K90" s="882"/>
      <c r="L90" s="882"/>
      <c r="M90" s="898"/>
    </row>
    <row r="91" spans="1:13" ht="12.95" customHeight="1">
      <c r="A91" s="876"/>
      <c r="B91" s="877"/>
      <c r="C91" s="878"/>
      <c r="D91" s="878"/>
      <c r="E91" s="878"/>
      <c r="F91" s="878"/>
      <c r="G91" s="878"/>
      <c r="H91" s="878"/>
      <c r="I91" s="881"/>
      <c r="J91" s="882"/>
      <c r="K91" s="882"/>
      <c r="L91" s="882"/>
      <c r="M91" s="898"/>
    </row>
    <row r="92" spans="1:13" ht="12.95" customHeight="1">
      <c r="A92" s="876"/>
      <c r="B92" s="877"/>
      <c r="C92" s="878"/>
      <c r="D92" s="878"/>
      <c r="E92" s="878"/>
      <c r="F92" s="878"/>
      <c r="G92" s="878"/>
      <c r="H92" s="878"/>
      <c r="I92" s="881"/>
      <c r="J92" s="882"/>
      <c r="K92" s="882"/>
      <c r="L92" s="882"/>
      <c r="M92" s="898"/>
    </row>
    <row r="93" spans="1:13" ht="12.95" customHeight="1">
      <c r="A93" s="876"/>
      <c r="B93" s="877"/>
      <c r="C93" s="878"/>
      <c r="D93" s="878"/>
      <c r="E93" s="878"/>
      <c r="F93" s="878"/>
      <c r="G93" s="878"/>
      <c r="H93" s="878"/>
      <c r="I93" s="881"/>
      <c r="J93" s="882"/>
      <c r="K93" s="882"/>
      <c r="L93" s="882"/>
      <c r="M93" s="898"/>
    </row>
    <row r="94" spans="1:13" ht="12.95" customHeight="1">
      <c r="A94" s="876"/>
      <c r="B94" s="877"/>
      <c r="C94" s="878"/>
      <c r="D94" s="878"/>
      <c r="E94" s="878"/>
      <c r="F94" s="878"/>
      <c r="G94" s="878"/>
      <c r="H94" s="878"/>
      <c r="I94" s="881"/>
      <c r="J94" s="882"/>
      <c r="K94" s="882"/>
      <c r="L94" s="882"/>
      <c r="M94" s="898"/>
    </row>
    <row r="95" spans="1:13" ht="12.95" customHeight="1">
      <c r="A95" s="876"/>
      <c r="B95" s="877"/>
      <c r="C95" s="878"/>
      <c r="D95" s="878"/>
      <c r="E95" s="878"/>
      <c r="F95" s="878"/>
      <c r="G95" s="878"/>
      <c r="H95" s="878"/>
      <c r="I95" s="881"/>
      <c r="J95" s="882"/>
      <c r="K95" s="882"/>
      <c r="L95" s="882"/>
      <c r="M95" s="898"/>
    </row>
    <row r="96" spans="1:13" ht="12.95" customHeight="1">
      <c r="A96" s="876"/>
      <c r="B96" s="877"/>
      <c r="C96" s="878"/>
      <c r="D96" s="878"/>
      <c r="E96" s="878"/>
      <c r="F96" s="878"/>
      <c r="G96" s="878"/>
      <c r="H96" s="878"/>
      <c r="I96" s="881"/>
      <c r="J96" s="882"/>
      <c r="K96" s="882"/>
      <c r="L96" s="882"/>
      <c r="M96" s="898"/>
    </row>
    <row r="97" spans="1:13" ht="12.95" customHeight="1">
      <c r="A97" s="876"/>
      <c r="B97" s="877"/>
      <c r="C97" s="878"/>
      <c r="D97" s="878"/>
      <c r="E97" s="878"/>
      <c r="F97" s="878"/>
      <c r="G97" s="878"/>
      <c r="H97" s="878"/>
      <c r="I97" s="881"/>
      <c r="J97" s="882"/>
      <c r="K97" s="882"/>
      <c r="L97" s="882"/>
      <c r="M97" s="898"/>
    </row>
    <row r="98" spans="1:13" ht="12.95" customHeight="1">
      <c r="A98" s="876"/>
      <c r="B98" s="877"/>
      <c r="C98" s="878"/>
      <c r="D98" s="878"/>
      <c r="E98" s="878"/>
      <c r="F98" s="878"/>
      <c r="G98" s="878"/>
      <c r="H98" s="878"/>
      <c r="I98" s="881"/>
      <c r="J98" s="882"/>
      <c r="K98" s="882"/>
      <c r="L98" s="882"/>
      <c r="M98" s="898"/>
    </row>
    <row r="99" spans="1:13" ht="12.95" customHeight="1">
      <c r="A99" s="876"/>
      <c r="B99" s="877"/>
      <c r="C99" s="878"/>
      <c r="D99" s="878"/>
      <c r="E99" s="878"/>
      <c r="F99" s="878"/>
      <c r="G99" s="878"/>
      <c r="H99" s="878"/>
      <c r="I99" s="881"/>
      <c r="J99" s="882"/>
      <c r="K99" s="882"/>
      <c r="L99" s="882"/>
      <c r="M99" s="898"/>
    </row>
    <row r="100" spans="1:13" ht="12.95" customHeight="1">
      <c r="A100" s="876"/>
      <c r="B100" s="877"/>
      <c r="C100" s="878"/>
      <c r="D100" s="878"/>
      <c r="E100" s="878"/>
      <c r="F100" s="878"/>
      <c r="G100" s="878"/>
      <c r="H100" s="878"/>
      <c r="I100" s="881"/>
      <c r="J100" s="882"/>
      <c r="K100" s="882"/>
      <c r="L100" s="882"/>
      <c r="M100" s="898"/>
    </row>
    <row r="101" spans="1:13" ht="12.95" customHeight="1">
      <c r="A101" s="876"/>
      <c r="B101" s="877"/>
      <c r="C101" s="878"/>
      <c r="D101" s="878"/>
      <c r="E101" s="878"/>
      <c r="F101" s="878"/>
      <c r="G101" s="878"/>
      <c r="H101" s="878"/>
      <c r="I101" s="881"/>
      <c r="J101" s="882"/>
      <c r="K101" s="882"/>
      <c r="L101" s="882"/>
      <c r="M101" s="898"/>
    </row>
    <row r="102" spans="1:13" ht="12.95" customHeight="1">
      <c r="A102" s="876"/>
      <c r="B102" s="877"/>
      <c r="C102" s="878"/>
      <c r="D102" s="878"/>
      <c r="E102" s="878"/>
      <c r="F102" s="878"/>
      <c r="G102" s="878"/>
      <c r="H102" s="878"/>
      <c r="I102" s="881"/>
      <c r="J102" s="882"/>
      <c r="K102" s="882"/>
      <c r="L102" s="882"/>
      <c r="M102" s="898"/>
    </row>
    <row r="103" spans="1:13" ht="12.95" customHeight="1">
      <c r="A103" s="876"/>
      <c r="B103" s="877"/>
      <c r="C103" s="878"/>
      <c r="D103" s="878"/>
      <c r="E103" s="878"/>
      <c r="F103" s="878"/>
      <c r="G103" s="878"/>
      <c r="H103" s="878"/>
      <c r="I103" s="881"/>
      <c r="J103" s="882"/>
      <c r="K103" s="882"/>
      <c r="L103" s="882"/>
      <c r="M103" s="898"/>
    </row>
    <row r="104" spans="1:13" ht="12.95" customHeight="1">
      <c r="A104" s="876"/>
      <c r="B104" s="877"/>
      <c r="C104" s="878"/>
      <c r="D104" s="878"/>
      <c r="E104" s="878"/>
      <c r="F104" s="878"/>
      <c r="G104" s="878"/>
      <c r="H104" s="878"/>
      <c r="I104" s="881"/>
      <c r="J104" s="882"/>
      <c r="K104" s="882"/>
      <c r="L104" s="882"/>
      <c r="M104" s="898"/>
    </row>
    <row r="105" spans="1:13" ht="12.95" customHeight="1">
      <c r="A105" s="876"/>
      <c r="B105" s="877"/>
      <c r="C105" s="878"/>
      <c r="D105" s="878"/>
      <c r="E105" s="878"/>
      <c r="F105" s="878"/>
      <c r="G105" s="878"/>
      <c r="H105" s="878"/>
      <c r="I105" s="881"/>
      <c r="J105" s="882"/>
      <c r="K105" s="882"/>
      <c r="L105" s="882"/>
      <c r="M105" s="898"/>
    </row>
    <row r="106" spans="1:13" ht="12.95" customHeight="1" thickBot="1">
      <c r="A106" s="885"/>
      <c r="B106" s="886"/>
      <c r="C106" s="887"/>
      <c r="D106" s="887"/>
      <c r="E106" s="887"/>
      <c r="F106" s="887"/>
      <c r="G106" s="887"/>
      <c r="H106" s="887"/>
      <c r="I106" s="890"/>
      <c r="J106" s="891"/>
      <c r="K106" s="891"/>
      <c r="L106" s="891"/>
      <c r="M106" s="904"/>
    </row>
  </sheetData>
  <mergeCells count="38">
    <mergeCell ref="A26:A32"/>
    <mergeCell ref="E31:G31"/>
    <mergeCell ref="B58:I58"/>
    <mergeCell ref="B59:I59"/>
    <mergeCell ref="E38:G38"/>
    <mergeCell ref="B66:I66"/>
    <mergeCell ref="A40:A46"/>
    <mergeCell ref="B57:I57"/>
    <mergeCell ref="B60:I60"/>
    <mergeCell ref="A55:A68"/>
    <mergeCell ref="B68:I68"/>
    <mergeCell ref="B65:I65"/>
    <mergeCell ref="B77:C77"/>
    <mergeCell ref="A69:A77"/>
    <mergeCell ref="B76:C76"/>
    <mergeCell ref="B72:C72"/>
    <mergeCell ref="B73:C73"/>
    <mergeCell ref="B74:C74"/>
    <mergeCell ref="B75:C75"/>
    <mergeCell ref="B69:C69"/>
    <mergeCell ref="B70:C70"/>
    <mergeCell ref="B71:C71"/>
    <mergeCell ref="A1:M1"/>
    <mergeCell ref="B2:I2"/>
    <mergeCell ref="E9:G9"/>
    <mergeCell ref="A11:A17"/>
    <mergeCell ref="E16:G16"/>
    <mergeCell ref="A4:A10"/>
    <mergeCell ref="B67:I67"/>
    <mergeCell ref="B64:I64"/>
    <mergeCell ref="A19:A25"/>
    <mergeCell ref="E24:G24"/>
    <mergeCell ref="B63:I63"/>
    <mergeCell ref="B56:I56"/>
    <mergeCell ref="B61:I61"/>
    <mergeCell ref="E45:G45"/>
    <mergeCell ref="B62:I62"/>
    <mergeCell ref="A33:A39"/>
  </mergeCells>
  <phoneticPr fontId="3" type="noConversion"/>
  <pageMargins left="0.39370078740157483" right="0.19685039370078741" top="0.49" bottom="0.55118110236220474" header="0.15748031496062992" footer="0.43307086614173229"/>
  <pageSetup paperSize="9" orientation="portrait" horizontalDpi="300" verticalDpi="300" r:id="rId1"/>
  <headerFooter alignWithMargins="0">
    <oddFooter>&amp;P페이지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S43"/>
  <sheetViews>
    <sheetView view="pageBreakPreview" zoomScale="75" zoomScaleSheetLayoutView="75" workbookViewId="0">
      <selection activeCell="A8" sqref="A8"/>
    </sheetView>
  </sheetViews>
  <sheetFormatPr defaultColWidth="2.77734375" defaultRowHeight="17.100000000000001" customHeight="1"/>
  <cols>
    <col min="1" max="4" width="2.77734375" style="909" customWidth="1"/>
    <col min="5" max="5" width="3.109375" style="909" customWidth="1"/>
    <col min="6" max="11" width="2.77734375" style="909" customWidth="1"/>
    <col min="12" max="12" width="3" style="909" customWidth="1"/>
    <col min="13" max="13" width="2.77734375" style="909" customWidth="1"/>
    <col min="14" max="14" width="3.21875" style="909" customWidth="1"/>
    <col min="15" max="16384" width="2.77734375" style="909"/>
  </cols>
  <sheetData>
    <row r="1" spans="1:19" s="908" customFormat="1" ht="13.5">
      <c r="D1" s="957"/>
    </row>
    <row r="2" spans="1:19" s="908" customFormat="1" ht="13.5">
      <c r="D2" s="957"/>
    </row>
    <row r="3" spans="1:19" s="908" customFormat="1" ht="13.5">
      <c r="D3" s="957"/>
    </row>
    <row r="4" spans="1:19" s="908" customFormat="1" ht="13.5">
      <c r="D4" s="957"/>
    </row>
    <row r="5" spans="1:19" s="908" customFormat="1" ht="13.5">
      <c r="D5" s="957"/>
    </row>
    <row r="6" spans="1:19" s="908" customFormat="1" ht="13.5">
      <c r="D6" s="957"/>
    </row>
    <row r="7" spans="1:19" s="908" customFormat="1" ht="31.5">
      <c r="A7" s="1556" t="s">
        <v>2201</v>
      </c>
      <c r="B7" s="1556"/>
      <c r="C7" s="1556"/>
      <c r="D7" s="1556"/>
      <c r="E7" s="1556"/>
      <c r="F7" s="1556"/>
      <c r="G7" s="1556"/>
      <c r="H7" s="1556"/>
      <c r="I7" s="1556"/>
      <c r="J7" s="1556"/>
      <c r="K7" s="1556"/>
      <c r="L7" s="1556"/>
      <c r="M7" s="1556"/>
      <c r="N7" s="1556"/>
      <c r="O7" s="1556"/>
      <c r="P7" s="1556"/>
      <c r="Q7" s="1556"/>
      <c r="R7" s="1556"/>
      <c r="S7" s="1556"/>
    </row>
    <row r="8" spans="1:19" s="908" customFormat="1" ht="13.5">
      <c r="D8" s="957"/>
    </row>
    <row r="9" spans="1:19" s="908" customFormat="1" ht="13.5">
      <c r="D9" s="957"/>
    </row>
    <row r="10" spans="1:19" s="908" customFormat="1" ht="13.5">
      <c r="D10" s="957"/>
    </row>
    <row r="11" spans="1:19" s="908" customFormat="1" ht="13.5">
      <c r="D11" s="957"/>
    </row>
    <row r="12" spans="1:19" s="908" customFormat="1" ht="13.5">
      <c r="D12" s="957"/>
    </row>
    <row r="13" spans="1:19" s="908" customFormat="1" ht="13.5">
      <c r="D13" s="957"/>
    </row>
    <row r="14" spans="1:19" s="908" customFormat="1" ht="13.5">
      <c r="D14" s="957"/>
    </row>
    <row r="15" spans="1:19" s="908" customFormat="1" ht="13.5">
      <c r="D15" s="957"/>
    </row>
    <row r="16" spans="1:19" s="908" customFormat="1" ht="13.5">
      <c r="D16" s="957"/>
    </row>
    <row r="17" spans="3:15" s="908" customFormat="1" ht="13.5">
      <c r="D17" s="957"/>
    </row>
    <row r="18" spans="3:15" s="908" customFormat="1" ht="13.5">
      <c r="D18" s="957"/>
    </row>
    <row r="19" spans="3:15" s="908" customFormat="1" ht="13.5">
      <c r="D19" s="1262"/>
      <c r="E19" s="671"/>
      <c r="F19" s="671"/>
      <c r="G19" s="671"/>
      <c r="H19" s="671"/>
      <c r="I19" s="671"/>
      <c r="J19" s="671"/>
      <c r="K19" s="671"/>
      <c r="L19" s="671"/>
      <c r="M19" s="671"/>
      <c r="N19" s="671"/>
      <c r="O19" s="671"/>
    </row>
    <row r="20" spans="3:15" s="928" customFormat="1" ht="30" customHeight="1">
      <c r="C20" s="1261"/>
      <c r="D20" s="1581"/>
      <c r="E20" s="1581"/>
      <c r="F20" s="1557"/>
      <c r="G20" s="1557"/>
      <c r="H20" s="1557"/>
      <c r="I20" s="1582"/>
      <c r="J20" s="1582"/>
      <c r="K20" s="1582"/>
      <c r="L20" s="1582"/>
      <c r="M20" s="1582"/>
      <c r="N20" s="1582"/>
      <c r="O20" s="1582"/>
    </row>
    <row r="21" spans="3:15" s="928" customFormat="1" ht="30" customHeight="1">
      <c r="D21" s="1259"/>
      <c r="E21" s="1256"/>
      <c r="F21" s="1260"/>
      <c r="G21" s="1257"/>
      <c r="H21" s="1256"/>
    </row>
    <row r="22" spans="3:15" s="928" customFormat="1" ht="30" customHeight="1">
      <c r="C22" s="1256"/>
      <c r="D22" s="1259"/>
      <c r="E22" s="1256"/>
      <c r="F22" s="1557"/>
      <c r="G22" s="1558"/>
      <c r="H22" s="1256"/>
    </row>
    <row r="23" spans="3:15" s="928" customFormat="1" ht="30" customHeight="1">
      <c r="C23" s="1258"/>
      <c r="D23" s="957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</row>
    <row r="24" spans="3:15" s="928" customFormat="1" ht="30" customHeight="1">
      <c r="C24" s="1258"/>
      <c r="D24" s="957"/>
      <c r="E24" s="908"/>
      <c r="F24" s="908"/>
      <c r="G24" s="908"/>
      <c r="H24" s="908"/>
      <c r="I24" s="908"/>
      <c r="J24" s="908"/>
      <c r="K24" s="908"/>
      <c r="L24" s="908"/>
      <c r="M24" s="908"/>
      <c r="N24" s="908"/>
      <c r="O24" s="908"/>
    </row>
    <row r="25" spans="3:15" s="928" customFormat="1" ht="30" customHeight="1">
      <c r="C25" s="1258"/>
      <c r="D25" s="957"/>
      <c r="E25" s="908"/>
      <c r="F25" s="908"/>
      <c r="G25" s="908"/>
      <c r="H25" s="908"/>
      <c r="I25" s="908"/>
      <c r="J25" s="908"/>
      <c r="K25" s="908"/>
      <c r="L25" s="908"/>
      <c r="M25" s="908"/>
      <c r="N25" s="908"/>
      <c r="O25" s="908"/>
    </row>
    <row r="26" spans="3:15" s="908" customFormat="1" ht="13.5">
      <c r="D26" s="957"/>
    </row>
    <row r="27" spans="3:15" s="908" customFormat="1" ht="13.5">
      <c r="D27" s="957"/>
    </row>
    <row r="28" spans="3:15" s="908" customFormat="1" ht="13.5">
      <c r="D28" s="957"/>
    </row>
    <row r="29" spans="3:15" s="908" customFormat="1" ht="13.5">
      <c r="D29" s="957"/>
    </row>
    <row r="30" spans="3:15" s="908" customFormat="1" ht="13.5">
      <c r="D30" s="957"/>
    </row>
    <row r="31" spans="3:15" s="908" customFormat="1" ht="13.5">
      <c r="D31" s="957"/>
    </row>
    <row r="32" spans="3:15" s="908" customFormat="1" ht="13.5">
      <c r="D32" s="957"/>
    </row>
    <row r="33" spans="4:15" s="908" customFormat="1" ht="13.5">
      <c r="D33" s="957"/>
    </row>
    <row r="34" spans="4:15" s="908" customFormat="1" ht="13.5">
      <c r="D34" s="957"/>
    </row>
    <row r="35" spans="4:15" s="908" customFormat="1" ht="13.5">
      <c r="D35" s="957"/>
    </row>
    <row r="36" spans="4:15" s="908" customFormat="1" ht="13.5">
      <c r="D36" s="957"/>
    </row>
    <row r="37" spans="4:15" s="908" customFormat="1" ht="13.5">
      <c r="D37" s="957"/>
    </row>
    <row r="38" spans="4:15" s="908" customFormat="1" ht="13.5">
      <c r="D38" s="957"/>
    </row>
    <row r="39" spans="4:15" s="908" customFormat="1" ht="13.5">
      <c r="D39" s="957"/>
    </row>
    <row r="40" spans="4:15" s="908" customFormat="1" ht="13.5">
      <c r="D40" s="957"/>
    </row>
    <row r="41" spans="4:15" s="908" customFormat="1" ht="13.5">
      <c r="D41" s="909"/>
      <c r="E41" s="909"/>
      <c r="F41" s="909"/>
      <c r="G41" s="909"/>
      <c r="H41" s="909"/>
      <c r="I41" s="909"/>
      <c r="J41" s="909"/>
      <c r="K41" s="909"/>
      <c r="L41" s="909"/>
      <c r="M41" s="909"/>
      <c r="N41" s="909"/>
      <c r="O41" s="909"/>
    </row>
    <row r="42" spans="4:15" s="908" customFormat="1" ht="13.5">
      <c r="D42" s="909"/>
      <c r="E42" s="909"/>
      <c r="F42" s="909"/>
      <c r="G42" s="909"/>
      <c r="H42" s="909"/>
      <c r="I42" s="909"/>
      <c r="J42" s="909"/>
      <c r="K42" s="909"/>
      <c r="L42" s="909"/>
      <c r="M42" s="909"/>
      <c r="N42" s="909"/>
      <c r="O42" s="909"/>
    </row>
    <row r="43" spans="4:15" s="908" customFormat="1" ht="13.5">
      <c r="D43" s="909"/>
      <c r="E43" s="909"/>
      <c r="F43" s="909"/>
      <c r="G43" s="909"/>
      <c r="H43" s="909"/>
      <c r="I43" s="909"/>
      <c r="J43" s="909"/>
      <c r="K43" s="909"/>
      <c r="L43" s="909"/>
      <c r="M43" s="909"/>
      <c r="N43" s="909"/>
      <c r="O43" s="909"/>
    </row>
  </sheetData>
  <mergeCells count="6">
    <mergeCell ref="L20:O20"/>
    <mergeCell ref="A7:S7"/>
    <mergeCell ref="F22:G22"/>
    <mergeCell ref="D20:E20"/>
    <mergeCell ref="F20:H20"/>
    <mergeCell ref="I20:K2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136"/>
  <sheetViews>
    <sheetView view="pageBreakPreview" zoomScaleSheetLayoutView="100" workbookViewId="0">
      <selection activeCell="A46" sqref="A46:K46"/>
    </sheetView>
  </sheetViews>
  <sheetFormatPr defaultRowHeight="13.5"/>
  <cols>
    <col min="1" max="2" width="9.77734375" customWidth="1"/>
    <col min="3" max="3" width="5.77734375" customWidth="1"/>
    <col min="4" max="4" width="4.33203125" style="338" customWidth="1"/>
    <col min="5" max="10" width="6.33203125" customWidth="1"/>
    <col min="11" max="11" width="7.33203125" customWidth="1"/>
  </cols>
  <sheetData>
    <row r="1" spans="1:11" ht="26.1" customHeight="1">
      <c r="A1" s="1804" t="s">
        <v>184</v>
      </c>
      <c r="B1" s="1804"/>
      <c r="C1" s="1804"/>
      <c r="D1" s="1804"/>
      <c r="E1" s="1804"/>
      <c r="F1" s="1804"/>
      <c r="G1" s="1804"/>
      <c r="H1" s="1804"/>
      <c r="I1" s="1804"/>
      <c r="J1" s="1804"/>
      <c r="K1" s="1804"/>
    </row>
    <row r="2" spans="1:11" s="818" customFormat="1" ht="15" customHeight="1">
      <c r="A2" s="1802" t="s">
        <v>2</v>
      </c>
      <c r="B2" s="1796" t="s">
        <v>3</v>
      </c>
      <c r="C2" s="1796" t="s">
        <v>4</v>
      </c>
      <c r="D2" s="1796" t="s">
        <v>5</v>
      </c>
      <c r="E2" s="1796" t="s">
        <v>7</v>
      </c>
      <c r="F2" s="1796"/>
      <c r="G2" s="1796" t="s">
        <v>8</v>
      </c>
      <c r="H2" s="1796"/>
      <c r="I2" s="1796" t="s">
        <v>9</v>
      </c>
      <c r="J2" s="1796"/>
      <c r="K2" s="1799" t="s">
        <v>6</v>
      </c>
    </row>
    <row r="3" spans="1:11" s="818" customFormat="1" ht="15" customHeight="1">
      <c r="A3" s="1803"/>
      <c r="B3" s="1797"/>
      <c r="C3" s="1797"/>
      <c r="D3" s="1797"/>
      <c r="E3" s="349" t="s">
        <v>10</v>
      </c>
      <c r="F3" s="349" t="s">
        <v>11</v>
      </c>
      <c r="G3" s="349" t="s">
        <v>10</v>
      </c>
      <c r="H3" s="349" t="s">
        <v>11</v>
      </c>
      <c r="I3" s="349" t="s">
        <v>10</v>
      </c>
      <c r="J3" s="349" t="s">
        <v>11</v>
      </c>
      <c r="K3" s="1800"/>
    </row>
    <row r="4" spans="1:11" s="818" customFormat="1" ht="15" customHeight="1">
      <c r="A4" s="411" t="s">
        <v>185</v>
      </c>
      <c r="B4" s="412"/>
      <c r="C4" s="412"/>
      <c r="D4" s="413"/>
      <c r="E4" s="412"/>
      <c r="F4" s="412"/>
      <c r="G4" s="412"/>
      <c r="H4" s="412"/>
      <c r="I4" s="412"/>
      <c r="J4" s="412"/>
      <c r="K4" s="414"/>
    </row>
    <row r="5" spans="1:11" s="818" customFormat="1" ht="15" customHeight="1">
      <c r="A5" s="348" t="s">
        <v>17</v>
      </c>
      <c r="B5" s="349" t="s">
        <v>186</v>
      </c>
      <c r="C5" s="410">
        <v>0.02</v>
      </c>
      <c r="D5" s="349" t="s">
        <v>15</v>
      </c>
      <c r="E5" s="351">
        <f ca="1">'9.0중기목록'!F34</f>
        <v>11704</v>
      </c>
      <c r="F5" s="351">
        <f ca="1">INT(E5*C5)</f>
        <v>234</v>
      </c>
      <c r="G5" s="351">
        <f ca="1">'9.0중기목록'!E34</f>
        <v>14915</v>
      </c>
      <c r="H5" s="351">
        <f ca="1">INT(C5*G5)</f>
        <v>298</v>
      </c>
      <c r="I5" s="351">
        <f ca="1">'9.0중기목록'!G34</f>
        <v>3752</v>
      </c>
      <c r="J5" s="351">
        <f>INT(C5*I5)</f>
        <v>75</v>
      </c>
      <c r="K5" s="352"/>
    </row>
    <row r="6" spans="1:11" s="818" customFormat="1" ht="15" customHeight="1">
      <c r="A6" s="348" t="s">
        <v>187</v>
      </c>
      <c r="B6" s="353"/>
      <c r="C6" s="350">
        <v>1.2E-2</v>
      </c>
      <c r="D6" s="349" t="s">
        <v>21</v>
      </c>
      <c r="E6" s="351"/>
      <c r="F6" s="351"/>
      <c r="G6" s="351">
        <f ca="1">'11.0시중노임'!F3</f>
        <v>79533</v>
      </c>
      <c r="H6" s="351">
        <f>INT(C6*G6)</f>
        <v>954</v>
      </c>
      <c r="I6" s="351"/>
      <c r="J6" s="351"/>
      <c r="K6" s="352"/>
    </row>
    <row r="7" spans="1:11" s="818" customFormat="1" ht="15" customHeight="1">
      <c r="A7" s="348" t="s">
        <v>24</v>
      </c>
      <c r="B7" s="349"/>
      <c r="C7" s="350">
        <v>1.2E-2</v>
      </c>
      <c r="D7" s="349" t="s">
        <v>21</v>
      </c>
      <c r="E7" s="351"/>
      <c r="F7" s="351"/>
      <c r="G7" s="351">
        <f ca="1">'11.0시중노임'!F6</f>
        <v>68965</v>
      </c>
      <c r="H7" s="351">
        <f>INT(C7*G7)</f>
        <v>827</v>
      </c>
      <c r="I7" s="351"/>
      <c r="J7" s="351"/>
      <c r="K7" s="352"/>
    </row>
    <row r="8" spans="1:11" s="818" customFormat="1" ht="15" customHeight="1">
      <c r="A8" s="354" t="s">
        <v>188</v>
      </c>
      <c r="B8" s="349" t="s">
        <v>189</v>
      </c>
      <c r="C8" s="350" t="s">
        <v>190</v>
      </c>
      <c r="D8" s="349"/>
      <c r="E8" s="351"/>
      <c r="F8" s="351"/>
      <c r="G8" s="351"/>
      <c r="H8" s="351"/>
      <c r="I8" s="351">
        <f>(F5+F6+F7+H5+H6+H7+J5+J6+J7)</f>
        <v>2388</v>
      </c>
      <c r="J8" s="351">
        <f>INT(I8*2.5%)</f>
        <v>59</v>
      </c>
      <c r="K8" s="352"/>
    </row>
    <row r="9" spans="1:11" s="818" customFormat="1" ht="15" customHeight="1">
      <c r="A9" s="348" t="s">
        <v>26</v>
      </c>
      <c r="B9" s="349"/>
      <c r="C9" s="350"/>
      <c r="D9" s="349"/>
      <c r="E9" s="351"/>
      <c r="F9" s="351">
        <f>SUM(F5:F8)</f>
        <v>234</v>
      </c>
      <c r="G9" s="351"/>
      <c r="H9" s="351">
        <f>SUM(H5:H8)</f>
        <v>2079</v>
      </c>
      <c r="I9" s="351"/>
      <c r="J9" s="351">
        <f>SUM(J5:J8)</f>
        <v>134</v>
      </c>
      <c r="K9" s="352">
        <f>INT(SUM(F9:J9))</f>
        <v>2447</v>
      </c>
    </row>
    <row r="10" spans="1:11" s="818" customFormat="1" ht="15" customHeight="1">
      <c r="A10" s="355" t="s">
        <v>191</v>
      </c>
      <c r="B10" s="356"/>
      <c r="C10" s="356"/>
      <c r="D10" s="357"/>
      <c r="E10" s="358"/>
      <c r="F10" s="358"/>
      <c r="G10" s="358"/>
      <c r="H10" s="358"/>
      <c r="I10" s="358"/>
      <c r="J10" s="358"/>
      <c r="K10" s="359"/>
    </row>
    <row r="11" spans="1:11" s="818" customFormat="1" ht="15" customHeight="1">
      <c r="A11" s="348" t="s">
        <v>192</v>
      </c>
      <c r="B11" s="349" t="s">
        <v>193</v>
      </c>
      <c r="C11" s="350">
        <v>0.23</v>
      </c>
      <c r="D11" s="349" t="s">
        <v>182</v>
      </c>
      <c r="E11" s="351">
        <f ca="1">'8.0자재단가'!I44</f>
        <v>830</v>
      </c>
      <c r="F11" s="351">
        <f>INT(C11*E11)</f>
        <v>190</v>
      </c>
      <c r="G11" s="351"/>
      <c r="H11" s="351"/>
      <c r="I11" s="351"/>
      <c r="J11" s="351"/>
      <c r="K11" s="352"/>
    </row>
    <row r="12" spans="1:11" s="818" customFormat="1" ht="15" customHeight="1">
      <c r="A12" s="348" t="s">
        <v>194</v>
      </c>
      <c r="B12" s="349" t="s">
        <v>195</v>
      </c>
      <c r="C12" s="360">
        <v>0.5</v>
      </c>
      <c r="D12" s="349" t="s">
        <v>182</v>
      </c>
      <c r="E12" s="351">
        <f ca="1">'8.0자재단가'!I45</f>
        <v>660</v>
      </c>
      <c r="F12" s="351">
        <f>INT(C12*E12)</f>
        <v>330</v>
      </c>
      <c r="G12" s="351"/>
      <c r="H12" s="351"/>
      <c r="I12" s="351"/>
      <c r="J12" s="351"/>
      <c r="K12" s="352"/>
    </row>
    <row r="13" spans="1:11" s="818" customFormat="1" ht="15" customHeight="1">
      <c r="A13" s="348" t="s">
        <v>22</v>
      </c>
      <c r="B13" s="349"/>
      <c r="C13" s="350">
        <v>6.0000000000000001E-3</v>
      </c>
      <c r="D13" s="349" t="s">
        <v>21</v>
      </c>
      <c r="E13" s="351"/>
      <c r="F13" s="351"/>
      <c r="G13" s="351">
        <f ca="1">'11.0시중노임'!F5</f>
        <v>84404</v>
      </c>
      <c r="H13" s="351">
        <f>INT(C13*G13)</f>
        <v>506</v>
      </c>
      <c r="I13" s="351"/>
      <c r="J13" s="351"/>
      <c r="K13" s="352"/>
    </row>
    <row r="14" spans="1:11" s="818" customFormat="1" ht="15" customHeight="1">
      <c r="A14" s="348" t="s">
        <v>24</v>
      </c>
      <c r="B14" s="349"/>
      <c r="C14" s="350">
        <v>6.0000000000000001E-3</v>
      </c>
      <c r="D14" s="349" t="s">
        <v>21</v>
      </c>
      <c r="E14" s="351"/>
      <c r="F14" s="351"/>
      <c r="G14" s="351">
        <f ca="1">'11.0시중노임'!F6</f>
        <v>68965</v>
      </c>
      <c r="H14" s="351">
        <f>INT(C14*G14)</f>
        <v>413</v>
      </c>
      <c r="I14" s="351"/>
      <c r="J14" s="351"/>
      <c r="K14" s="352"/>
    </row>
    <row r="15" spans="1:11" s="818" customFormat="1" ht="15" customHeight="1">
      <c r="A15" s="348" t="s">
        <v>13</v>
      </c>
      <c r="B15" s="349" t="s">
        <v>196</v>
      </c>
      <c r="C15" s="350">
        <v>3</v>
      </c>
      <c r="D15" s="349" t="s">
        <v>14</v>
      </c>
      <c r="E15" s="351">
        <f>SUM(F11:F14)</f>
        <v>520</v>
      </c>
      <c r="F15" s="351">
        <f>INT(E15*C15%)</f>
        <v>15</v>
      </c>
      <c r="G15" s="351"/>
      <c r="H15" s="351"/>
      <c r="I15" s="351"/>
      <c r="J15" s="351"/>
      <c r="K15" s="352"/>
    </row>
    <row r="16" spans="1:11" s="818" customFormat="1" ht="15" customHeight="1">
      <c r="A16" s="348" t="s">
        <v>25</v>
      </c>
      <c r="B16" s="349" t="s">
        <v>197</v>
      </c>
      <c r="C16" s="350">
        <v>2</v>
      </c>
      <c r="D16" s="349" t="s">
        <v>14</v>
      </c>
      <c r="E16" s="351"/>
      <c r="F16" s="351"/>
      <c r="G16" s="351"/>
      <c r="H16" s="351"/>
      <c r="I16" s="351">
        <f>SUM(H11:H16)</f>
        <v>919</v>
      </c>
      <c r="J16" s="351">
        <f>INT(I16*C16%)</f>
        <v>18</v>
      </c>
      <c r="K16" s="352"/>
    </row>
    <row r="17" spans="1:11" s="818" customFormat="1" ht="15" customHeight="1">
      <c r="A17" s="348" t="s">
        <v>26</v>
      </c>
      <c r="B17" s="349"/>
      <c r="C17" s="350"/>
      <c r="D17" s="349"/>
      <c r="E17" s="351"/>
      <c r="F17" s="351">
        <f>SUM(F11:F16)</f>
        <v>535</v>
      </c>
      <c r="G17" s="351"/>
      <c r="H17" s="351">
        <f>SUM(H11:H16)</f>
        <v>919</v>
      </c>
      <c r="I17" s="351"/>
      <c r="J17" s="351">
        <f>SUM(J11:J16)</f>
        <v>18</v>
      </c>
      <c r="K17" s="352">
        <f>INT(SUM(F17:J17))</f>
        <v>1472</v>
      </c>
    </row>
    <row r="18" spans="1:11" s="818" customFormat="1" ht="15" customHeight="1">
      <c r="A18" s="355" t="s">
        <v>198</v>
      </c>
      <c r="B18" s="357"/>
      <c r="C18" s="356"/>
      <c r="D18" s="357"/>
      <c r="E18" s="358"/>
      <c r="F18" s="358"/>
      <c r="G18" s="358"/>
      <c r="H18" s="358"/>
      <c r="I18" s="358"/>
      <c r="J18" s="358"/>
      <c r="K18" s="359"/>
    </row>
    <row r="19" spans="1:11" s="818" customFormat="1" ht="15" customHeight="1">
      <c r="A19" s="348" t="s">
        <v>199</v>
      </c>
      <c r="B19" s="349" t="s">
        <v>200</v>
      </c>
      <c r="C19" s="350">
        <v>1.2</v>
      </c>
      <c r="D19" s="349" t="s">
        <v>28</v>
      </c>
      <c r="E19" s="351">
        <f ca="1">'8.0자재단가'!I19</f>
        <v>2210</v>
      </c>
      <c r="F19" s="351">
        <f>INT(C19*E19)</f>
        <v>2652</v>
      </c>
      <c r="G19" s="351"/>
      <c r="H19" s="351"/>
      <c r="I19" s="351"/>
      <c r="J19" s="351"/>
      <c r="K19" s="352"/>
    </row>
    <row r="20" spans="1:11" s="818" customFormat="1" ht="15" customHeight="1">
      <c r="A20" s="348" t="s">
        <v>201</v>
      </c>
      <c r="B20" s="349" t="s">
        <v>202</v>
      </c>
      <c r="C20" s="350">
        <v>1.2</v>
      </c>
      <c r="D20" s="349" t="s">
        <v>203</v>
      </c>
      <c r="E20" s="351">
        <f ca="1">'8.0자재단가'!I20</f>
        <v>150</v>
      </c>
      <c r="F20" s="351">
        <f>INT(C20*E20)</f>
        <v>180</v>
      </c>
      <c r="G20" s="351"/>
      <c r="H20" s="351"/>
      <c r="I20" s="351"/>
      <c r="J20" s="351"/>
      <c r="K20" s="352"/>
    </row>
    <row r="21" spans="1:11" s="818" customFormat="1" ht="15" customHeight="1">
      <c r="A21" s="348" t="s">
        <v>20</v>
      </c>
      <c r="B21" s="349"/>
      <c r="C21" s="350">
        <v>5.0000000000000001E-3</v>
      </c>
      <c r="D21" s="349" t="s">
        <v>21</v>
      </c>
      <c r="E21" s="351"/>
      <c r="F21" s="351"/>
      <c r="G21" s="351">
        <f ca="1">'11.0시중노임'!F4</f>
        <v>92218</v>
      </c>
      <c r="H21" s="351">
        <f>INT(C21*G21)</f>
        <v>461</v>
      </c>
      <c r="I21" s="351"/>
      <c r="J21" s="351"/>
      <c r="K21" s="352"/>
    </row>
    <row r="22" spans="1:11" s="818" customFormat="1" ht="15" customHeight="1">
      <c r="A22" s="348" t="s">
        <v>22</v>
      </c>
      <c r="B22" s="349"/>
      <c r="C22" s="350">
        <v>0.02</v>
      </c>
      <c r="D22" s="349" t="s">
        <v>21</v>
      </c>
      <c r="E22" s="351"/>
      <c r="F22" s="351"/>
      <c r="G22" s="351">
        <f ca="1">'11.0시중노임'!F5</f>
        <v>84404</v>
      </c>
      <c r="H22" s="351">
        <f>INT(C22*G22)</f>
        <v>1688</v>
      </c>
      <c r="I22" s="351"/>
      <c r="J22" s="351"/>
      <c r="K22" s="352"/>
    </row>
    <row r="23" spans="1:11" s="818" customFormat="1" ht="15" customHeight="1">
      <c r="A23" s="348" t="s">
        <v>24</v>
      </c>
      <c r="B23" s="349"/>
      <c r="C23" s="360">
        <v>0.02</v>
      </c>
      <c r="D23" s="349" t="s">
        <v>21</v>
      </c>
      <c r="E23" s="351"/>
      <c r="F23" s="351"/>
      <c r="G23" s="351">
        <f ca="1">'11.0시중노임'!F6</f>
        <v>68965</v>
      </c>
      <c r="H23" s="351">
        <f>INT(C23*G23)</f>
        <v>1379</v>
      </c>
      <c r="I23" s="351"/>
      <c r="J23" s="351"/>
      <c r="K23" s="352"/>
    </row>
    <row r="24" spans="1:11" s="818" customFormat="1" ht="15" customHeight="1">
      <c r="A24" s="348" t="s">
        <v>13</v>
      </c>
      <c r="B24" s="349" t="s">
        <v>196</v>
      </c>
      <c r="C24" s="350">
        <v>3</v>
      </c>
      <c r="D24" s="349" t="s">
        <v>14</v>
      </c>
      <c r="E24" s="351">
        <f>SUM(F19:F23)</f>
        <v>2832</v>
      </c>
      <c r="F24" s="351">
        <f>INT(E24*C24%)</f>
        <v>84</v>
      </c>
      <c r="G24" s="351"/>
      <c r="H24" s="351"/>
      <c r="I24" s="351"/>
      <c r="J24" s="351"/>
      <c r="K24" s="352"/>
    </row>
    <row r="25" spans="1:11" s="818" customFormat="1" ht="15" customHeight="1">
      <c r="A25" s="348" t="s">
        <v>25</v>
      </c>
      <c r="B25" s="349" t="s">
        <v>197</v>
      </c>
      <c r="C25" s="350">
        <v>2</v>
      </c>
      <c r="D25" s="349" t="s">
        <v>14</v>
      </c>
      <c r="E25" s="351"/>
      <c r="F25" s="351"/>
      <c r="G25" s="351"/>
      <c r="H25" s="351"/>
      <c r="I25" s="351">
        <f>SUM(H19:H24)</f>
        <v>3528</v>
      </c>
      <c r="J25" s="351">
        <f>INT(I25*C25%)</f>
        <v>70</v>
      </c>
      <c r="K25" s="352"/>
    </row>
    <row r="26" spans="1:11" s="818" customFormat="1" ht="15" customHeight="1">
      <c r="A26" s="348" t="s">
        <v>26</v>
      </c>
      <c r="B26" s="349"/>
      <c r="C26" s="361"/>
      <c r="D26" s="349"/>
      <c r="E26" s="351"/>
      <c r="F26" s="351">
        <f>INT(SUM(F19:F25))</f>
        <v>2916</v>
      </c>
      <c r="G26" s="351"/>
      <c r="H26" s="351">
        <f>INT(SUM(H19:H25))</f>
        <v>3528</v>
      </c>
      <c r="I26" s="351"/>
      <c r="J26" s="351">
        <f>INT(SUM(J19:J25))</f>
        <v>70</v>
      </c>
      <c r="K26" s="352">
        <f>INT(SUM(F26:J26))</f>
        <v>6514</v>
      </c>
    </row>
    <row r="27" spans="1:11" s="818" customFormat="1" ht="15" customHeight="1">
      <c r="A27" s="355" t="s">
        <v>183</v>
      </c>
      <c r="B27" s="357"/>
      <c r="C27" s="356"/>
      <c r="D27" s="357"/>
      <c r="E27" s="358"/>
      <c r="F27" s="358"/>
      <c r="G27" s="358"/>
      <c r="H27" s="358"/>
      <c r="I27" s="358"/>
      <c r="J27" s="358"/>
      <c r="K27" s="359"/>
    </row>
    <row r="28" spans="1:11" s="818" customFormat="1" ht="15" customHeight="1">
      <c r="A28" s="348" t="s">
        <v>204</v>
      </c>
      <c r="B28" s="349"/>
      <c r="C28" s="350">
        <v>0.04</v>
      </c>
      <c r="D28" s="349" t="s">
        <v>205</v>
      </c>
      <c r="E28" s="351">
        <f ca="1">'8.0자재단가'!I65</f>
        <v>54000</v>
      </c>
      <c r="F28" s="351">
        <f>INT(C28*E28)</f>
        <v>2160</v>
      </c>
      <c r="G28" s="351"/>
      <c r="H28" s="351"/>
      <c r="I28" s="351"/>
      <c r="J28" s="351"/>
      <c r="K28" s="352"/>
    </row>
    <row r="29" spans="1:11" s="818" customFormat="1" ht="15" customHeight="1">
      <c r="A29" s="348" t="s">
        <v>206</v>
      </c>
      <c r="B29" s="349" t="s">
        <v>207</v>
      </c>
      <c r="C29" s="350">
        <f>0.06*1000</f>
        <v>60</v>
      </c>
      <c r="D29" s="349" t="s">
        <v>12</v>
      </c>
      <c r="E29" s="351">
        <f ca="1">'8.0자재단가'!I23</f>
        <v>5</v>
      </c>
      <c r="F29" s="351">
        <f>INT(C29*E29)</f>
        <v>300</v>
      </c>
      <c r="G29" s="351"/>
      <c r="H29" s="351"/>
      <c r="I29" s="351"/>
      <c r="J29" s="351"/>
      <c r="K29" s="352"/>
    </row>
    <row r="30" spans="1:11" s="818" customFormat="1" ht="15" customHeight="1">
      <c r="A30" s="348" t="s">
        <v>208</v>
      </c>
      <c r="B30" s="349" t="s">
        <v>209</v>
      </c>
      <c r="C30" s="350">
        <v>0.128</v>
      </c>
      <c r="D30" s="349" t="s">
        <v>210</v>
      </c>
      <c r="E30" s="351">
        <f ca="1">'8.0자재단가'!I66</f>
        <v>4000</v>
      </c>
      <c r="F30" s="351">
        <f>INT(C30*E30)</f>
        <v>512</v>
      </c>
      <c r="G30" s="351"/>
      <c r="H30" s="351"/>
      <c r="I30" s="351"/>
      <c r="J30" s="351"/>
      <c r="K30" s="352"/>
    </row>
    <row r="31" spans="1:11" s="818" customFormat="1" ht="15" customHeight="1">
      <c r="A31" s="348" t="s">
        <v>211</v>
      </c>
      <c r="B31" s="349" t="s">
        <v>212</v>
      </c>
      <c r="C31" s="350">
        <v>0.04</v>
      </c>
      <c r="D31" s="349" t="s">
        <v>15</v>
      </c>
      <c r="E31" s="351">
        <f ca="1">'9.0중기목록'!F54</f>
        <v>2272</v>
      </c>
      <c r="F31" s="351">
        <f ca="1">INT(C31*E31)</f>
        <v>90</v>
      </c>
      <c r="G31" s="351">
        <f ca="1">'9.0중기목록'!E54</f>
        <v>14915</v>
      </c>
      <c r="H31" s="351">
        <f ca="1">INT(C31*G31)</f>
        <v>596</v>
      </c>
      <c r="I31" s="351">
        <f ca="1">'9.0중기목록'!G54</f>
        <v>4060</v>
      </c>
      <c r="J31" s="351">
        <f t="shared" ref="J31:J38" si="0">INT(C31*I31)</f>
        <v>162</v>
      </c>
      <c r="K31" s="352"/>
    </row>
    <row r="32" spans="1:11" s="818" customFormat="1" ht="15" customHeight="1">
      <c r="A32" s="348" t="s">
        <v>213</v>
      </c>
      <c r="B32" s="349" t="s">
        <v>214</v>
      </c>
      <c r="C32" s="350">
        <v>0.04</v>
      </c>
      <c r="D32" s="349" t="s">
        <v>15</v>
      </c>
      <c r="E32" s="351"/>
      <c r="F32" s="351"/>
      <c r="G32" s="351"/>
      <c r="H32" s="351"/>
      <c r="I32" s="351">
        <f ca="1">'9.0중기목록'!G56</f>
        <v>15971</v>
      </c>
      <c r="J32" s="351">
        <f t="shared" si="0"/>
        <v>638</v>
      </c>
      <c r="K32" s="352"/>
    </row>
    <row r="33" spans="1:11" s="818" customFormat="1" ht="15" customHeight="1">
      <c r="A33" s="348" t="s">
        <v>16</v>
      </c>
      <c r="B33" s="349" t="s">
        <v>215</v>
      </c>
      <c r="C33" s="350">
        <v>0.04</v>
      </c>
      <c r="D33" s="349" t="s">
        <v>15</v>
      </c>
      <c r="E33" s="351">
        <f ca="1">'9.0중기목록'!F8</f>
        <v>29577</v>
      </c>
      <c r="F33" s="351">
        <f ca="1">INT(C33*E33)</f>
        <v>1183</v>
      </c>
      <c r="G33" s="351">
        <f ca="1">'9.0중기목록'!E8</f>
        <v>20561</v>
      </c>
      <c r="H33" s="351">
        <f ca="1">INT(C33*G33)</f>
        <v>822</v>
      </c>
      <c r="I33" s="351">
        <f ca="1">'9.0중기목록'!G8</f>
        <v>4656</v>
      </c>
      <c r="J33" s="351">
        <f t="shared" si="0"/>
        <v>186</v>
      </c>
      <c r="K33" s="352"/>
    </row>
    <row r="34" spans="1:11" s="818" customFormat="1" ht="15" customHeight="1">
      <c r="A34" s="348" t="s">
        <v>17</v>
      </c>
      <c r="B34" s="349" t="s">
        <v>186</v>
      </c>
      <c r="C34" s="350">
        <v>0.04</v>
      </c>
      <c r="D34" s="349" t="s">
        <v>15</v>
      </c>
      <c r="E34" s="351">
        <f ca="1">'9.0중기목록'!F34</f>
        <v>11704</v>
      </c>
      <c r="F34" s="351">
        <f ca="1">INT(C34*E34)</f>
        <v>468</v>
      </c>
      <c r="G34" s="351">
        <f ca="1">'9.0중기목록'!F34</f>
        <v>11704</v>
      </c>
      <c r="H34" s="351">
        <f ca="1">INT(C34*G34)</f>
        <v>468</v>
      </c>
      <c r="I34" s="351">
        <f ca="1">'9.0중기목록'!G34</f>
        <v>3752</v>
      </c>
      <c r="J34" s="351">
        <f t="shared" si="0"/>
        <v>150</v>
      </c>
      <c r="K34" s="352"/>
    </row>
    <row r="35" spans="1:11" s="818" customFormat="1" ht="15" customHeight="1">
      <c r="A35" s="348" t="s">
        <v>216</v>
      </c>
      <c r="B35" s="349" t="s">
        <v>217</v>
      </c>
      <c r="C35" s="350">
        <v>0.04</v>
      </c>
      <c r="D35" s="349" t="s">
        <v>15</v>
      </c>
      <c r="E35" s="351">
        <f ca="1">'9.0중기목록'!F58</f>
        <v>4036</v>
      </c>
      <c r="F35" s="351">
        <f ca="1">INT(C35*E35)</f>
        <v>161</v>
      </c>
      <c r="G35" s="351">
        <f ca="1">'9.0중기목록'!E58</f>
        <v>17696</v>
      </c>
      <c r="H35" s="351">
        <f ca="1">INT(C35*G35)</f>
        <v>707</v>
      </c>
      <c r="I35" s="351">
        <f ca="1">'9.0중기목록'!G58</f>
        <v>8036</v>
      </c>
      <c r="J35" s="351">
        <f t="shared" si="0"/>
        <v>321</v>
      </c>
      <c r="K35" s="352"/>
    </row>
    <row r="36" spans="1:11" s="818" customFormat="1" ht="15" customHeight="1">
      <c r="A36" s="348" t="s">
        <v>18</v>
      </c>
      <c r="B36" s="349" t="s">
        <v>19</v>
      </c>
      <c r="C36" s="350">
        <v>0.04</v>
      </c>
      <c r="D36" s="349" t="s">
        <v>15</v>
      </c>
      <c r="E36" s="351">
        <f ca="1">'9.0중기목록'!F14</f>
        <v>13117</v>
      </c>
      <c r="F36" s="351">
        <f ca="1">INT(C36*E36)</f>
        <v>524</v>
      </c>
      <c r="G36" s="351">
        <f ca="1">'9.0중기목록'!E14</f>
        <v>17696</v>
      </c>
      <c r="H36" s="351">
        <f ca="1">INT(C36*G36)</f>
        <v>707</v>
      </c>
      <c r="I36" s="351">
        <f ca="1">'9.0중기목록'!G14</f>
        <v>7823</v>
      </c>
      <c r="J36" s="351">
        <f t="shared" si="0"/>
        <v>312</v>
      </c>
      <c r="K36" s="352"/>
    </row>
    <row r="37" spans="1:11" s="818" customFormat="1" ht="15" customHeight="1">
      <c r="A37" s="348" t="s">
        <v>218</v>
      </c>
      <c r="B37" s="349" t="s">
        <v>219</v>
      </c>
      <c r="C37" s="350">
        <v>0.04</v>
      </c>
      <c r="D37" s="349" t="s">
        <v>15</v>
      </c>
      <c r="E37" s="351"/>
      <c r="F37" s="351"/>
      <c r="G37" s="351"/>
      <c r="H37" s="351"/>
      <c r="I37" s="351">
        <f ca="1">'9.0중기목록'!G60</f>
        <v>21808</v>
      </c>
      <c r="J37" s="351">
        <f t="shared" si="0"/>
        <v>872</v>
      </c>
      <c r="K37" s="352"/>
    </row>
    <row r="38" spans="1:11" s="818" customFormat="1" ht="15" customHeight="1">
      <c r="A38" s="348" t="s">
        <v>220</v>
      </c>
      <c r="B38" s="349" t="s">
        <v>221</v>
      </c>
      <c r="C38" s="350">
        <v>0.04</v>
      </c>
      <c r="D38" s="349" t="s">
        <v>15</v>
      </c>
      <c r="E38" s="351"/>
      <c r="F38" s="351"/>
      <c r="G38" s="351"/>
      <c r="H38" s="351"/>
      <c r="I38" s="351">
        <f ca="1">'9.0중기목록'!G40</f>
        <v>7417</v>
      </c>
      <c r="J38" s="351">
        <f t="shared" si="0"/>
        <v>296</v>
      </c>
      <c r="K38" s="352"/>
    </row>
    <row r="39" spans="1:11" s="818" customFormat="1" ht="15" customHeight="1">
      <c r="A39" s="348" t="s">
        <v>20</v>
      </c>
      <c r="B39" s="349"/>
      <c r="C39" s="350">
        <v>5.0000000000000001E-3</v>
      </c>
      <c r="D39" s="349" t="s">
        <v>21</v>
      </c>
      <c r="E39" s="350"/>
      <c r="F39" s="351"/>
      <c r="G39" s="351">
        <f ca="1">'11.0시중노임'!F4</f>
        <v>92218</v>
      </c>
      <c r="H39" s="351">
        <f>INT(C39*G39)</f>
        <v>461</v>
      </c>
      <c r="I39" s="351"/>
      <c r="J39" s="351"/>
      <c r="K39" s="352"/>
    </row>
    <row r="40" spans="1:11" s="818" customFormat="1" ht="15" customHeight="1">
      <c r="A40" s="348" t="s">
        <v>22</v>
      </c>
      <c r="B40" s="349"/>
      <c r="C40" s="350">
        <v>0.02</v>
      </c>
      <c r="D40" s="349" t="s">
        <v>21</v>
      </c>
      <c r="E40" s="350"/>
      <c r="F40" s="351"/>
      <c r="G40" s="351">
        <f ca="1">'11.0시중노임'!F5</f>
        <v>84404</v>
      </c>
      <c r="H40" s="351">
        <f>INT(C40*G40)</f>
        <v>1688</v>
      </c>
      <c r="I40" s="351"/>
      <c r="J40" s="351"/>
      <c r="K40" s="352"/>
    </row>
    <row r="41" spans="1:11" s="818" customFormat="1" ht="15" customHeight="1">
      <c r="A41" s="348" t="s">
        <v>23</v>
      </c>
      <c r="B41" s="349"/>
      <c r="C41" s="350">
        <v>5.0000000000000001E-3</v>
      </c>
      <c r="D41" s="349" t="s">
        <v>21</v>
      </c>
      <c r="E41" s="350"/>
      <c r="F41" s="351"/>
      <c r="G41" s="351">
        <f ca="1">'11.0시중노임'!F12</f>
        <v>86521</v>
      </c>
      <c r="H41" s="351">
        <f>INT(C41*G41)</f>
        <v>432</v>
      </c>
      <c r="I41" s="351"/>
      <c r="J41" s="351"/>
      <c r="K41" s="352"/>
    </row>
    <row r="42" spans="1:11" s="818" customFormat="1" ht="15" customHeight="1">
      <c r="A42" s="348" t="s">
        <v>24</v>
      </c>
      <c r="B42" s="349"/>
      <c r="C42" s="350">
        <v>0.04</v>
      </c>
      <c r="D42" s="349" t="s">
        <v>21</v>
      </c>
      <c r="E42" s="350"/>
      <c r="F42" s="351"/>
      <c r="G42" s="351">
        <f ca="1">'11.0시중노임'!F6</f>
        <v>68965</v>
      </c>
      <c r="H42" s="351">
        <f>INT(C42*G42)</f>
        <v>2758</v>
      </c>
      <c r="I42" s="351"/>
      <c r="J42" s="351"/>
      <c r="K42" s="352"/>
    </row>
    <row r="43" spans="1:11" s="818" customFormat="1" ht="15" customHeight="1">
      <c r="A43" s="348" t="s">
        <v>26</v>
      </c>
      <c r="B43" s="349"/>
      <c r="C43" s="350"/>
      <c r="D43" s="349"/>
      <c r="E43" s="350"/>
      <c r="F43" s="351">
        <f>INT(SUM(F28:F42))</f>
        <v>5398</v>
      </c>
      <c r="G43" s="351"/>
      <c r="H43" s="351">
        <f>INT(SUM(H28:H42))</f>
        <v>8639</v>
      </c>
      <c r="I43" s="351"/>
      <c r="J43" s="351">
        <f>INT(SUM(J28:J42))</f>
        <v>2937</v>
      </c>
      <c r="K43" s="352">
        <f>INT(SUM(F43:J43))</f>
        <v>16974</v>
      </c>
    </row>
    <row r="44" spans="1:11" s="818" customFormat="1" ht="15" customHeight="1">
      <c r="A44" s="363" t="s">
        <v>27</v>
      </c>
      <c r="B44" s="364"/>
      <c r="C44" s="364"/>
      <c r="D44" s="365"/>
      <c r="E44" s="364"/>
      <c r="F44" s="366">
        <f>F43+F26+F17+F9</f>
        <v>9083</v>
      </c>
      <c r="G44" s="366"/>
      <c r="H44" s="366">
        <f>H43+H26+H17+H9</f>
        <v>15165</v>
      </c>
      <c r="I44" s="366"/>
      <c r="J44" s="366">
        <f>J43+J26+J17+J9</f>
        <v>3159</v>
      </c>
      <c r="K44" s="367">
        <f>K43+K26+K17+K9</f>
        <v>27407</v>
      </c>
    </row>
    <row r="45" spans="1:11" s="818" customFormat="1" ht="15" customHeight="1">
      <c r="A45" s="342"/>
      <c r="B45" s="342"/>
      <c r="C45" s="342"/>
      <c r="D45" s="368"/>
      <c r="E45" s="342"/>
      <c r="F45" s="342"/>
      <c r="G45" s="1798"/>
      <c r="H45" s="1798"/>
      <c r="I45" s="1798"/>
      <c r="J45" s="1798"/>
      <c r="K45" s="1798"/>
    </row>
    <row r="46" spans="1:11" ht="26.1" customHeight="1">
      <c r="A46" s="1801" t="s">
        <v>222</v>
      </c>
      <c r="B46" s="1801"/>
      <c r="C46" s="1801"/>
      <c r="D46" s="1801"/>
      <c r="E46" s="1801"/>
      <c r="F46" s="1801"/>
      <c r="G46" s="1801"/>
      <c r="H46" s="1801"/>
      <c r="I46" s="1801"/>
      <c r="J46" s="1801"/>
      <c r="K46" s="1801"/>
    </row>
    <row r="47" spans="1:11" s="818" customFormat="1" ht="15" customHeight="1">
      <c r="A47" s="1802" t="s">
        <v>2</v>
      </c>
      <c r="B47" s="1796" t="s">
        <v>3</v>
      </c>
      <c r="C47" s="1796" t="s">
        <v>4</v>
      </c>
      <c r="D47" s="1796" t="s">
        <v>5</v>
      </c>
      <c r="E47" s="1796" t="s">
        <v>7</v>
      </c>
      <c r="F47" s="1796"/>
      <c r="G47" s="1796" t="s">
        <v>8</v>
      </c>
      <c r="H47" s="1796"/>
      <c r="I47" s="1796" t="s">
        <v>9</v>
      </c>
      <c r="J47" s="1796"/>
      <c r="K47" s="1799" t="s">
        <v>6</v>
      </c>
    </row>
    <row r="48" spans="1:11" s="818" customFormat="1" ht="15" customHeight="1">
      <c r="A48" s="1803"/>
      <c r="B48" s="1797"/>
      <c r="C48" s="1797"/>
      <c r="D48" s="1797"/>
      <c r="E48" s="349" t="s">
        <v>10</v>
      </c>
      <c r="F48" s="349" t="s">
        <v>11</v>
      </c>
      <c r="G48" s="349" t="s">
        <v>10</v>
      </c>
      <c r="H48" s="349" t="s">
        <v>11</v>
      </c>
      <c r="I48" s="349" t="s">
        <v>10</v>
      </c>
      <c r="J48" s="349" t="s">
        <v>11</v>
      </c>
      <c r="K48" s="1800"/>
    </row>
    <row r="49" spans="1:11" s="818" customFormat="1" ht="15" customHeight="1">
      <c r="A49" s="411" t="s">
        <v>185</v>
      </c>
      <c r="B49" s="412"/>
      <c r="C49" s="412"/>
      <c r="D49" s="413"/>
      <c r="E49" s="412"/>
      <c r="F49" s="412"/>
      <c r="G49" s="412"/>
      <c r="H49" s="412"/>
      <c r="I49" s="412"/>
      <c r="J49" s="412"/>
      <c r="K49" s="414"/>
    </row>
    <row r="50" spans="1:11" s="818" customFormat="1" ht="15" customHeight="1">
      <c r="A50" s="348" t="s">
        <v>17</v>
      </c>
      <c r="B50" s="349" t="s">
        <v>186</v>
      </c>
      <c r="C50" s="410">
        <v>0.02</v>
      </c>
      <c r="D50" s="349" t="s">
        <v>15</v>
      </c>
      <c r="E50" s="351">
        <f>E5</f>
        <v>11704</v>
      </c>
      <c r="F50" s="351">
        <f>INT(E50*C50)</f>
        <v>234</v>
      </c>
      <c r="G50" s="351">
        <f>G5</f>
        <v>14915</v>
      </c>
      <c r="H50" s="351">
        <f>INT(C50*G50)</f>
        <v>298</v>
      </c>
      <c r="I50" s="351">
        <f>I5</f>
        <v>3752</v>
      </c>
      <c r="J50" s="351">
        <f>INT(C50*I50)</f>
        <v>75</v>
      </c>
      <c r="K50" s="352"/>
    </row>
    <row r="51" spans="1:11" s="818" customFormat="1" ht="15" customHeight="1">
      <c r="A51" s="348" t="s">
        <v>187</v>
      </c>
      <c r="B51" s="353"/>
      <c r="C51" s="350">
        <v>1.2E-2</v>
      </c>
      <c r="D51" s="349" t="s">
        <v>21</v>
      </c>
      <c r="E51" s="351"/>
      <c r="F51" s="351"/>
      <c r="G51" s="351">
        <f ca="1">'11.0시중노임'!F3</f>
        <v>79533</v>
      </c>
      <c r="H51" s="351">
        <f>INT(C51*G51)</f>
        <v>954</v>
      </c>
      <c r="I51" s="351"/>
      <c r="J51" s="351"/>
      <c r="K51" s="352"/>
    </row>
    <row r="52" spans="1:11" s="818" customFormat="1" ht="15" customHeight="1">
      <c r="A52" s="348" t="s">
        <v>24</v>
      </c>
      <c r="B52" s="349"/>
      <c r="C52" s="350">
        <v>1.2E-2</v>
      </c>
      <c r="D52" s="349" t="s">
        <v>21</v>
      </c>
      <c r="E52" s="351"/>
      <c r="F52" s="351"/>
      <c r="G52" s="351">
        <f ca="1">'11.0시중노임'!F6</f>
        <v>68965</v>
      </c>
      <c r="H52" s="351">
        <f>INT(C52*G52)</f>
        <v>827</v>
      </c>
      <c r="I52" s="351"/>
      <c r="J52" s="351"/>
      <c r="K52" s="352"/>
    </row>
    <row r="53" spans="1:11" s="818" customFormat="1" ht="15" customHeight="1">
      <c r="A53" s="354" t="s">
        <v>188</v>
      </c>
      <c r="B53" s="349" t="s">
        <v>189</v>
      </c>
      <c r="C53" s="350" t="s">
        <v>190</v>
      </c>
      <c r="D53" s="349"/>
      <c r="E53" s="351"/>
      <c r="F53" s="351"/>
      <c r="G53" s="351"/>
      <c r="H53" s="351"/>
      <c r="I53" s="351">
        <f>(F50+F51+F52+H50+H51+H52+J50+J51+J52)</f>
        <v>2388</v>
      </c>
      <c r="J53" s="351">
        <f>INT(I53*2.5%)</f>
        <v>59</v>
      </c>
      <c r="K53" s="352"/>
    </row>
    <row r="54" spans="1:11" s="818" customFormat="1" ht="15" customHeight="1">
      <c r="A54" s="348" t="s">
        <v>26</v>
      </c>
      <c r="B54" s="349"/>
      <c r="C54" s="350"/>
      <c r="D54" s="349"/>
      <c r="E54" s="351"/>
      <c r="F54" s="351">
        <f>SUM(F50:F53)</f>
        <v>234</v>
      </c>
      <c r="G54" s="351"/>
      <c r="H54" s="351">
        <f>SUM(H50:H53)</f>
        <v>2079</v>
      </c>
      <c r="I54" s="351"/>
      <c r="J54" s="351">
        <f>SUM(J50:J53)</f>
        <v>134</v>
      </c>
      <c r="K54" s="352">
        <f>INT(SUM(F54:J54))</f>
        <v>2447</v>
      </c>
    </row>
    <row r="55" spans="1:11" s="818" customFormat="1" ht="15" customHeight="1">
      <c r="A55" s="355" t="s">
        <v>191</v>
      </c>
      <c r="B55" s="356"/>
      <c r="C55" s="356"/>
      <c r="D55" s="357"/>
      <c r="E55" s="358"/>
      <c r="F55" s="358"/>
      <c r="G55" s="358"/>
      <c r="H55" s="358"/>
      <c r="I55" s="358"/>
      <c r="J55" s="358"/>
      <c r="K55" s="359"/>
    </row>
    <row r="56" spans="1:11" s="818" customFormat="1" ht="15" customHeight="1">
      <c r="A56" s="348" t="s">
        <v>192</v>
      </c>
      <c r="B56" s="349" t="s">
        <v>193</v>
      </c>
      <c r="C56" s="350">
        <v>0.23</v>
      </c>
      <c r="D56" s="349" t="s">
        <v>182</v>
      </c>
      <c r="E56" s="351">
        <f>E11</f>
        <v>830</v>
      </c>
      <c r="F56" s="351">
        <f>INT(C56*E56)</f>
        <v>190</v>
      </c>
      <c r="G56" s="351"/>
      <c r="H56" s="351"/>
      <c r="I56" s="351"/>
      <c r="J56" s="351"/>
      <c r="K56" s="352"/>
    </row>
    <row r="57" spans="1:11" s="818" customFormat="1" ht="15" customHeight="1">
      <c r="A57" s="348" t="s">
        <v>194</v>
      </c>
      <c r="B57" s="349" t="s">
        <v>195</v>
      </c>
      <c r="C57" s="360">
        <v>0.5</v>
      </c>
      <c r="D57" s="349" t="s">
        <v>182</v>
      </c>
      <c r="E57" s="351">
        <f>E12</f>
        <v>660</v>
      </c>
      <c r="F57" s="351">
        <f>INT(C57*E57)</f>
        <v>330</v>
      </c>
      <c r="G57" s="351"/>
      <c r="H57" s="351"/>
      <c r="I57" s="351"/>
      <c r="J57" s="351"/>
      <c r="K57" s="352"/>
    </row>
    <row r="58" spans="1:11" s="818" customFormat="1" ht="15" customHeight="1">
      <c r="A58" s="348" t="s">
        <v>22</v>
      </c>
      <c r="B58" s="349"/>
      <c r="C58" s="350">
        <v>6.0000000000000001E-3</v>
      </c>
      <c r="D58" s="349" t="s">
        <v>21</v>
      </c>
      <c r="E58" s="351"/>
      <c r="F58" s="351"/>
      <c r="G58" s="351">
        <f ca="1">'11.0시중노임'!F5</f>
        <v>84404</v>
      </c>
      <c r="H58" s="351">
        <f>INT(C58*G58)</f>
        <v>506</v>
      </c>
      <c r="I58" s="351"/>
      <c r="J58" s="351"/>
      <c r="K58" s="352"/>
    </row>
    <row r="59" spans="1:11" s="818" customFormat="1" ht="15" customHeight="1">
      <c r="A59" s="348" t="s">
        <v>24</v>
      </c>
      <c r="B59" s="349"/>
      <c r="C59" s="350">
        <v>6.0000000000000001E-3</v>
      </c>
      <c r="D59" s="349" t="s">
        <v>21</v>
      </c>
      <c r="E59" s="351"/>
      <c r="F59" s="351"/>
      <c r="G59" s="351">
        <f ca="1">'11.0시중노임'!F6</f>
        <v>68965</v>
      </c>
      <c r="H59" s="351">
        <f>INT(C59*G59)</f>
        <v>413</v>
      </c>
      <c r="I59" s="351"/>
      <c r="J59" s="351"/>
      <c r="K59" s="352"/>
    </row>
    <row r="60" spans="1:11" s="818" customFormat="1" ht="15" customHeight="1">
      <c r="A60" s="348" t="s">
        <v>13</v>
      </c>
      <c r="B60" s="349" t="s">
        <v>196</v>
      </c>
      <c r="C60" s="350">
        <v>3</v>
      </c>
      <c r="D60" s="349" t="s">
        <v>14</v>
      </c>
      <c r="E60" s="351">
        <f>SUM(F56:F59)</f>
        <v>520</v>
      </c>
      <c r="F60" s="351">
        <f>INT(E60*C60%)</f>
        <v>15</v>
      </c>
      <c r="G60" s="351"/>
      <c r="H60" s="351"/>
      <c r="I60" s="351"/>
      <c r="J60" s="351"/>
      <c r="K60" s="352"/>
    </row>
    <row r="61" spans="1:11" s="818" customFormat="1" ht="15" customHeight="1">
      <c r="A61" s="348" t="s">
        <v>25</v>
      </c>
      <c r="B61" s="349" t="s">
        <v>197</v>
      </c>
      <c r="C61" s="350">
        <v>2</v>
      </c>
      <c r="D61" s="349" t="s">
        <v>14</v>
      </c>
      <c r="E61" s="351"/>
      <c r="F61" s="351"/>
      <c r="G61" s="351"/>
      <c r="H61" s="351"/>
      <c r="I61" s="351">
        <f>SUM(H56:H61)</f>
        <v>919</v>
      </c>
      <c r="J61" s="351">
        <f>INT(I61*C61%)</f>
        <v>18</v>
      </c>
      <c r="K61" s="352"/>
    </row>
    <row r="62" spans="1:11" s="818" customFormat="1" ht="15" customHeight="1">
      <c r="A62" s="348" t="s">
        <v>26</v>
      </c>
      <c r="B62" s="349"/>
      <c r="C62" s="350"/>
      <c r="D62" s="349"/>
      <c r="E62" s="351"/>
      <c r="F62" s="351">
        <f>SUM(F56:F61)</f>
        <v>535</v>
      </c>
      <c r="G62" s="351"/>
      <c r="H62" s="351">
        <f>SUM(H56:H61)</f>
        <v>919</v>
      </c>
      <c r="I62" s="351"/>
      <c r="J62" s="351">
        <f>SUM(J56:J61)</f>
        <v>18</v>
      </c>
      <c r="K62" s="352">
        <f>INT(SUM(F62:J62))</f>
        <v>1472</v>
      </c>
    </row>
    <row r="63" spans="1:11" s="818" customFormat="1" ht="15" customHeight="1">
      <c r="A63" s="355" t="s">
        <v>198</v>
      </c>
      <c r="B63" s="357"/>
      <c r="C63" s="356"/>
      <c r="D63" s="357"/>
      <c r="E63" s="358"/>
      <c r="F63" s="358"/>
      <c r="G63" s="358"/>
      <c r="H63" s="358"/>
      <c r="I63" s="358"/>
      <c r="J63" s="358"/>
      <c r="K63" s="359"/>
    </row>
    <row r="64" spans="1:11" s="818" customFormat="1" ht="15" customHeight="1">
      <c r="A64" s="348" t="s">
        <v>199</v>
      </c>
      <c r="B64" s="349" t="s">
        <v>200</v>
      </c>
      <c r="C64" s="350">
        <v>1.2</v>
      </c>
      <c r="D64" s="349" t="s">
        <v>28</v>
      </c>
      <c r="E64" s="351">
        <f>E19</f>
        <v>2210</v>
      </c>
      <c r="F64" s="351">
        <f>INT(C64*E64)</f>
        <v>2652</v>
      </c>
      <c r="G64" s="351"/>
      <c r="H64" s="351"/>
      <c r="I64" s="351"/>
      <c r="J64" s="351"/>
      <c r="K64" s="352"/>
    </row>
    <row r="65" spans="1:11" s="818" customFormat="1" ht="15" customHeight="1">
      <c r="A65" s="348" t="s">
        <v>201</v>
      </c>
      <c r="B65" s="349" t="s">
        <v>202</v>
      </c>
      <c r="C65" s="350">
        <v>1.2</v>
      </c>
      <c r="D65" s="349" t="s">
        <v>203</v>
      </c>
      <c r="E65" s="351">
        <f>E20</f>
        <v>150</v>
      </c>
      <c r="F65" s="351">
        <f>INT(C65*E65)</f>
        <v>180</v>
      </c>
      <c r="G65" s="351"/>
      <c r="H65" s="351"/>
      <c r="I65" s="351"/>
      <c r="J65" s="351"/>
      <c r="K65" s="352"/>
    </row>
    <row r="66" spans="1:11" s="818" customFormat="1" ht="15" customHeight="1">
      <c r="A66" s="348" t="s">
        <v>20</v>
      </c>
      <c r="B66" s="349"/>
      <c r="C66" s="350">
        <v>5.0000000000000001E-3</v>
      </c>
      <c r="D66" s="349" t="s">
        <v>21</v>
      </c>
      <c r="E66" s="351"/>
      <c r="F66" s="351"/>
      <c r="G66" s="351">
        <f ca="1">'11.0시중노임'!F4</f>
        <v>92218</v>
      </c>
      <c r="H66" s="351">
        <f>INT(C66*G66)</f>
        <v>461</v>
      </c>
      <c r="I66" s="351"/>
      <c r="J66" s="351"/>
      <c r="K66" s="352"/>
    </row>
    <row r="67" spans="1:11" s="818" customFormat="1" ht="15" customHeight="1">
      <c r="A67" s="348" t="s">
        <v>22</v>
      </c>
      <c r="B67" s="349"/>
      <c r="C67" s="350">
        <v>0.02</v>
      </c>
      <c r="D67" s="349" t="s">
        <v>21</v>
      </c>
      <c r="E67" s="351"/>
      <c r="F67" s="351"/>
      <c r="G67" s="351">
        <f ca="1">'11.0시중노임'!F5</f>
        <v>84404</v>
      </c>
      <c r="H67" s="351">
        <f>INT(C67*G67)</f>
        <v>1688</v>
      </c>
      <c r="I67" s="351"/>
      <c r="J67" s="351"/>
      <c r="K67" s="352"/>
    </row>
    <row r="68" spans="1:11" s="818" customFormat="1" ht="15" customHeight="1">
      <c r="A68" s="348" t="s">
        <v>24</v>
      </c>
      <c r="B68" s="349"/>
      <c r="C68" s="360">
        <v>0.02</v>
      </c>
      <c r="D68" s="349" t="s">
        <v>21</v>
      </c>
      <c r="E68" s="351"/>
      <c r="F68" s="351"/>
      <c r="G68" s="351">
        <f ca="1">'11.0시중노임'!F6</f>
        <v>68965</v>
      </c>
      <c r="H68" s="351">
        <f>INT(C68*G68)</f>
        <v>1379</v>
      </c>
      <c r="I68" s="351"/>
      <c r="J68" s="351"/>
      <c r="K68" s="352"/>
    </row>
    <row r="69" spans="1:11" s="818" customFormat="1" ht="15" customHeight="1">
      <c r="A69" s="348" t="s">
        <v>13</v>
      </c>
      <c r="B69" s="349" t="s">
        <v>196</v>
      </c>
      <c r="C69" s="350">
        <v>3</v>
      </c>
      <c r="D69" s="349" t="s">
        <v>14</v>
      </c>
      <c r="E69" s="351">
        <f>SUM(F64:F68)</f>
        <v>2832</v>
      </c>
      <c r="F69" s="351">
        <f>INT(E69*C69%)</f>
        <v>84</v>
      </c>
      <c r="G69" s="351"/>
      <c r="H69" s="351"/>
      <c r="I69" s="351"/>
      <c r="J69" s="351"/>
      <c r="K69" s="352"/>
    </row>
    <row r="70" spans="1:11" s="818" customFormat="1" ht="15" customHeight="1">
      <c r="A70" s="348" t="s">
        <v>25</v>
      </c>
      <c r="B70" s="349" t="s">
        <v>197</v>
      </c>
      <c r="C70" s="350">
        <v>2</v>
      </c>
      <c r="D70" s="349" t="s">
        <v>14</v>
      </c>
      <c r="E70" s="351"/>
      <c r="F70" s="351"/>
      <c r="G70" s="351"/>
      <c r="H70" s="351"/>
      <c r="I70" s="351">
        <f>SUM(H64:H69)</f>
        <v>3528</v>
      </c>
      <c r="J70" s="351">
        <f>INT(I70*C70%)</f>
        <v>70</v>
      </c>
      <c r="K70" s="352"/>
    </row>
    <row r="71" spans="1:11" s="818" customFormat="1" ht="15" customHeight="1">
      <c r="A71" s="348" t="s">
        <v>26</v>
      </c>
      <c r="B71" s="349"/>
      <c r="C71" s="361"/>
      <c r="D71" s="349"/>
      <c r="E71" s="351"/>
      <c r="F71" s="351">
        <f>INT(SUM(F64:F70))</f>
        <v>2916</v>
      </c>
      <c r="G71" s="351"/>
      <c r="H71" s="351">
        <f>INT(SUM(H64:H70))</f>
        <v>3528</v>
      </c>
      <c r="I71" s="351"/>
      <c r="J71" s="351">
        <f>INT(SUM(J64:J70))</f>
        <v>70</v>
      </c>
      <c r="K71" s="352">
        <f>INT(SUM(F71:J71))</f>
        <v>6514</v>
      </c>
    </row>
    <row r="72" spans="1:11" s="818" customFormat="1" ht="15" customHeight="1">
      <c r="A72" s="355" t="s">
        <v>183</v>
      </c>
      <c r="B72" s="357"/>
      <c r="C72" s="356"/>
      <c r="D72" s="357"/>
      <c r="E72" s="358"/>
      <c r="F72" s="358"/>
      <c r="G72" s="358"/>
      <c r="H72" s="358"/>
      <c r="I72" s="358"/>
      <c r="J72" s="358"/>
      <c r="K72" s="359"/>
    </row>
    <row r="73" spans="1:11" s="818" customFormat="1" ht="15" customHeight="1">
      <c r="A73" s="348" t="s">
        <v>204</v>
      </c>
      <c r="B73" s="349"/>
      <c r="C73" s="350">
        <v>0.08</v>
      </c>
      <c r="D73" s="349" t="s">
        <v>205</v>
      </c>
      <c r="E73" s="351">
        <f>E28</f>
        <v>54000</v>
      </c>
      <c r="F73" s="351">
        <f>INT(C73*E73)</f>
        <v>4320</v>
      </c>
      <c r="G73" s="351"/>
      <c r="H73" s="351"/>
      <c r="I73" s="351"/>
      <c r="J73" s="351"/>
      <c r="K73" s="352"/>
    </row>
    <row r="74" spans="1:11" s="818" customFormat="1" ht="15" customHeight="1">
      <c r="A74" s="348" t="s">
        <v>206</v>
      </c>
      <c r="B74" s="349" t="s">
        <v>207</v>
      </c>
      <c r="C74" s="350">
        <f>0.12*1000</f>
        <v>120</v>
      </c>
      <c r="D74" s="349" t="s">
        <v>12</v>
      </c>
      <c r="E74" s="351">
        <f>E29</f>
        <v>5</v>
      </c>
      <c r="F74" s="351">
        <f>INT(C74*E74)</f>
        <v>600</v>
      </c>
      <c r="G74" s="351"/>
      <c r="H74" s="351"/>
      <c r="I74" s="351"/>
      <c r="J74" s="351"/>
      <c r="K74" s="352"/>
    </row>
    <row r="75" spans="1:11" s="818" customFormat="1" ht="15" customHeight="1">
      <c r="A75" s="348" t="s">
        <v>208</v>
      </c>
      <c r="B75" s="349" t="s">
        <v>209</v>
      </c>
      <c r="C75" s="350">
        <v>0.25600000000000001</v>
      </c>
      <c r="D75" s="349" t="s">
        <v>210</v>
      </c>
      <c r="E75" s="351">
        <f>E30</f>
        <v>4000</v>
      </c>
      <c r="F75" s="351">
        <f>INT(C75*E75)</f>
        <v>1024</v>
      </c>
      <c r="G75" s="351"/>
      <c r="H75" s="351"/>
      <c r="I75" s="351"/>
      <c r="J75" s="351"/>
      <c r="K75" s="352"/>
    </row>
    <row r="76" spans="1:11" s="818" customFormat="1" ht="15" customHeight="1">
      <c r="A76" s="348" t="s">
        <v>211</v>
      </c>
      <c r="B76" s="349" t="s">
        <v>212</v>
      </c>
      <c r="C76" s="350">
        <v>0.08</v>
      </c>
      <c r="D76" s="349" t="s">
        <v>15</v>
      </c>
      <c r="E76" s="351">
        <f>E31</f>
        <v>2272</v>
      </c>
      <c r="F76" s="351">
        <f>INT(C76*E76)</f>
        <v>181</v>
      </c>
      <c r="G76" s="351">
        <f>G31</f>
        <v>14915</v>
      </c>
      <c r="H76" s="351">
        <f>INT(C76*G76)</f>
        <v>1193</v>
      </c>
      <c r="I76" s="351">
        <f t="shared" ref="I76:I83" si="1">I31</f>
        <v>4060</v>
      </c>
      <c r="J76" s="351">
        <f t="shared" ref="J76:J83" si="2">INT(C76*I76)</f>
        <v>324</v>
      </c>
      <c r="K76" s="352"/>
    </row>
    <row r="77" spans="1:11" s="818" customFormat="1" ht="15" customHeight="1">
      <c r="A77" s="348" t="s">
        <v>213</v>
      </c>
      <c r="B77" s="349" t="s">
        <v>214</v>
      </c>
      <c r="C77" s="350">
        <v>0.08</v>
      </c>
      <c r="D77" s="349" t="s">
        <v>15</v>
      </c>
      <c r="E77" s="351"/>
      <c r="F77" s="351"/>
      <c r="G77" s="351"/>
      <c r="H77" s="351"/>
      <c r="I77" s="351">
        <f t="shared" si="1"/>
        <v>15971</v>
      </c>
      <c r="J77" s="351">
        <f t="shared" si="2"/>
        <v>1277</v>
      </c>
      <c r="K77" s="352"/>
    </row>
    <row r="78" spans="1:11" s="818" customFormat="1" ht="15" customHeight="1">
      <c r="A78" s="348" t="s">
        <v>16</v>
      </c>
      <c r="B78" s="349" t="s">
        <v>215</v>
      </c>
      <c r="C78" s="350">
        <v>0.08</v>
      </c>
      <c r="D78" s="349" t="s">
        <v>15</v>
      </c>
      <c r="E78" s="351">
        <f>E33</f>
        <v>29577</v>
      </c>
      <c r="F78" s="351">
        <f>INT(C78*E78)</f>
        <v>2366</v>
      </c>
      <c r="G78" s="351">
        <f>G33</f>
        <v>20561</v>
      </c>
      <c r="H78" s="351">
        <f>INT(C78*G78)</f>
        <v>1644</v>
      </c>
      <c r="I78" s="351">
        <f t="shared" si="1"/>
        <v>4656</v>
      </c>
      <c r="J78" s="351">
        <f t="shared" si="2"/>
        <v>372</v>
      </c>
      <c r="K78" s="352"/>
    </row>
    <row r="79" spans="1:11" s="818" customFormat="1" ht="15" customHeight="1">
      <c r="A79" s="348" t="s">
        <v>17</v>
      </c>
      <c r="B79" s="349" t="s">
        <v>186</v>
      </c>
      <c r="C79" s="350">
        <v>0.08</v>
      </c>
      <c r="D79" s="349" t="s">
        <v>15</v>
      </c>
      <c r="E79" s="351">
        <f>E34</f>
        <v>11704</v>
      </c>
      <c r="F79" s="351">
        <f>INT(C79*E79)</f>
        <v>936</v>
      </c>
      <c r="G79" s="351">
        <f>G34</f>
        <v>11704</v>
      </c>
      <c r="H79" s="351">
        <f>INT(C79*G79)</f>
        <v>936</v>
      </c>
      <c r="I79" s="351">
        <f t="shared" si="1"/>
        <v>3752</v>
      </c>
      <c r="J79" s="351">
        <f t="shared" si="2"/>
        <v>300</v>
      </c>
      <c r="K79" s="352"/>
    </row>
    <row r="80" spans="1:11" s="818" customFormat="1" ht="15" customHeight="1">
      <c r="A80" s="348" t="s">
        <v>216</v>
      </c>
      <c r="B80" s="349" t="s">
        <v>223</v>
      </c>
      <c r="C80" s="350">
        <v>0.08</v>
      </c>
      <c r="D80" s="349" t="s">
        <v>15</v>
      </c>
      <c r="E80" s="351">
        <f>E35</f>
        <v>4036</v>
      </c>
      <c r="F80" s="351">
        <f>INT(C80*E80)</f>
        <v>322</v>
      </c>
      <c r="G80" s="351">
        <f>G35</f>
        <v>17696</v>
      </c>
      <c r="H80" s="351">
        <f>INT(C80*G80)</f>
        <v>1415</v>
      </c>
      <c r="I80" s="351">
        <f t="shared" si="1"/>
        <v>8036</v>
      </c>
      <c r="J80" s="351">
        <f t="shared" si="2"/>
        <v>642</v>
      </c>
      <c r="K80" s="352"/>
    </row>
    <row r="81" spans="1:11" s="818" customFormat="1" ht="15" customHeight="1">
      <c r="A81" s="348" t="s">
        <v>18</v>
      </c>
      <c r="B81" s="349" t="s">
        <v>19</v>
      </c>
      <c r="C81" s="350">
        <v>0.08</v>
      </c>
      <c r="D81" s="349" t="s">
        <v>15</v>
      </c>
      <c r="E81" s="351">
        <f>E36</f>
        <v>13117</v>
      </c>
      <c r="F81" s="351">
        <f>INT(C81*E81)</f>
        <v>1049</v>
      </c>
      <c r="G81" s="351">
        <f>G36</f>
        <v>17696</v>
      </c>
      <c r="H81" s="351">
        <f>INT(C81*G81)</f>
        <v>1415</v>
      </c>
      <c r="I81" s="351">
        <f t="shared" si="1"/>
        <v>7823</v>
      </c>
      <c r="J81" s="351">
        <f t="shared" si="2"/>
        <v>625</v>
      </c>
      <c r="K81" s="352"/>
    </row>
    <row r="82" spans="1:11" s="818" customFormat="1" ht="15" customHeight="1">
      <c r="A82" s="348" t="s">
        <v>218</v>
      </c>
      <c r="B82" s="349" t="s">
        <v>219</v>
      </c>
      <c r="C82" s="350">
        <v>0.08</v>
      </c>
      <c r="D82" s="349" t="s">
        <v>15</v>
      </c>
      <c r="E82" s="351"/>
      <c r="F82" s="351"/>
      <c r="G82" s="351"/>
      <c r="H82" s="351"/>
      <c r="I82" s="351">
        <f t="shared" si="1"/>
        <v>21808</v>
      </c>
      <c r="J82" s="351">
        <f t="shared" si="2"/>
        <v>1744</v>
      </c>
      <c r="K82" s="352"/>
    </row>
    <row r="83" spans="1:11" s="818" customFormat="1" ht="15" customHeight="1">
      <c r="A83" s="348" t="s">
        <v>220</v>
      </c>
      <c r="B83" s="349" t="s">
        <v>221</v>
      </c>
      <c r="C83" s="350">
        <v>0.08</v>
      </c>
      <c r="D83" s="349" t="s">
        <v>15</v>
      </c>
      <c r="E83" s="351"/>
      <c r="F83" s="351"/>
      <c r="G83" s="351"/>
      <c r="H83" s="351"/>
      <c r="I83" s="351">
        <f t="shared" si="1"/>
        <v>7417</v>
      </c>
      <c r="J83" s="351">
        <f t="shared" si="2"/>
        <v>593</v>
      </c>
      <c r="K83" s="352"/>
    </row>
    <row r="84" spans="1:11" s="818" customFormat="1" ht="15" customHeight="1">
      <c r="A84" s="348" t="s">
        <v>20</v>
      </c>
      <c r="B84" s="349"/>
      <c r="C84" s="350">
        <v>0.01</v>
      </c>
      <c r="D84" s="349" t="s">
        <v>21</v>
      </c>
      <c r="E84" s="350"/>
      <c r="F84" s="351"/>
      <c r="G84" s="351">
        <f ca="1">'11.0시중노임'!F4</f>
        <v>92218</v>
      </c>
      <c r="H84" s="351">
        <f>INT(C84*G84)</f>
        <v>922</v>
      </c>
      <c r="I84" s="351"/>
      <c r="J84" s="351"/>
      <c r="K84" s="352"/>
    </row>
    <row r="85" spans="1:11" s="818" customFormat="1" ht="15" customHeight="1">
      <c r="A85" s="348" t="s">
        <v>22</v>
      </c>
      <c r="B85" s="349"/>
      <c r="C85" s="350">
        <v>0.04</v>
      </c>
      <c r="D85" s="349" t="s">
        <v>21</v>
      </c>
      <c r="E85" s="350"/>
      <c r="F85" s="351"/>
      <c r="G85" s="351">
        <f ca="1">'11.0시중노임'!F5</f>
        <v>84404</v>
      </c>
      <c r="H85" s="351">
        <f>INT(C85*G85)</f>
        <v>3376</v>
      </c>
      <c r="I85" s="351"/>
      <c r="J85" s="351"/>
      <c r="K85" s="352"/>
    </row>
    <row r="86" spans="1:11" s="818" customFormat="1" ht="15" customHeight="1">
      <c r="A86" s="348" t="s">
        <v>23</v>
      </c>
      <c r="B86" s="349"/>
      <c r="C86" s="350">
        <v>0.01</v>
      </c>
      <c r="D86" s="349" t="s">
        <v>21</v>
      </c>
      <c r="E86" s="350"/>
      <c r="F86" s="351"/>
      <c r="G86" s="351">
        <f ca="1">'11.0시중노임'!F12</f>
        <v>86521</v>
      </c>
      <c r="H86" s="351">
        <f>INT(C86*G86)</f>
        <v>865</v>
      </c>
      <c r="I86" s="351"/>
      <c r="J86" s="351"/>
      <c r="K86" s="352"/>
    </row>
    <row r="87" spans="1:11" s="818" customFormat="1" ht="15" customHeight="1">
      <c r="A87" s="348" t="s">
        <v>24</v>
      </c>
      <c r="B87" s="349"/>
      <c r="C87" s="350">
        <v>0.08</v>
      </c>
      <c r="D87" s="349" t="s">
        <v>21</v>
      </c>
      <c r="E87" s="350"/>
      <c r="F87" s="351"/>
      <c r="G87" s="351">
        <f ca="1">'11.0시중노임'!F6</f>
        <v>68965</v>
      </c>
      <c r="H87" s="351">
        <f>INT(C87*G87)</f>
        <v>5517</v>
      </c>
      <c r="I87" s="351"/>
      <c r="J87" s="351"/>
      <c r="K87" s="352"/>
    </row>
    <row r="88" spans="1:11" s="818" customFormat="1" ht="15" customHeight="1">
      <c r="A88" s="348" t="s">
        <v>26</v>
      </c>
      <c r="B88" s="349"/>
      <c r="C88" s="350"/>
      <c r="D88" s="349"/>
      <c r="E88" s="350"/>
      <c r="F88" s="351">
        <f>INT(SUM(F73:F87))</f>
        <v>10798</v>
      </c>
      <c r="G88" s="351"/>
      <c r="H88" s="351">
        <f>INT(SUM(H73:H87))</f>
        <v>17283</v>
      </c>
      <c r="I88" s="351"/>
      <c r="J88" s="351">
        <f>INT(SUM(J73:J87))</f>
        <v>5877</v>
      </c>
      <c r="K88" s="352">
        <f>INT(SUM(F88:J88))</f>
        <v>33958</v>
      </c>
    </row>
    <row r="89" spans="1:11" s="818" customFormat="1" ht="15" customHeight="1">
      <c r="A89" s="363" t="s">
        <v>27</v>
      </c>
      <c r="B89" s="364"/>
      <c r="C89" s="364"/>
      <c r="D89" s="365"/>
      <c r="E89" s="364"/>
      <c r="F89" s="366">
        <f>F88+F71+F62+F54</f>
        <v>14483</v>
      </c>
      <c r="G89" s="366"/>
      <c r="H89" s="366">
        <f>H88+H71+H62+H54</f>
        <v>23809</v>
      </c>
      <c r="I89" s="366"/>
      <c r="J89" s="366">
        <f>J88+J71+J62+J54</f>
        <v>6099</v>
      </c>
      <c r="K89" s="367">
        <f>K88+K71+K62+K54</f>
        <v>44391</v>
      </c>
    </row>
    <row r="90" spans="1:11" s="818" customFormat="1" ht="15" customHeight="1">
      <c r="A90" s="342"/>
      <c r="B90" s="342"/>
      <c r="C90" s="342"/>
      <c r="D90" s="368"/>
      <c r="E90" s="342"/>
      <c r="F90" s="342"/>
      <c r="G90" s="1798"/>
      <c r="H90" s="1798"/>
      <c r="I90" s="1798"/>
      <c r="J90" s="1798"/>
      <c r="K90" s="1798"/>
    </row>
    <row r="91" spans="1:11" ht="26.1" customHeight="1">
      <c r="A91" s="1801" t="s">
        <v>224</v>
      </c>
      <c r="B91" s="1801"/>
      <c r="C91" s="1801"/>
      <c r="D91" s="1801"/>
      <c r="E91" s="1801"/>
      <c r="F91" s="1801"/>
      <c r="G91" s="1801"/>
      <c r="H91" s="1801"/>
      <c r="I91" s="1801"/>
      <c r="J91" s="1801"/>
      <c r="K91" s="1801"/>
    </row>
    <row r="92" spans="1:11" s="818" customFormat="1" ht="15" customHeight="1">
      <c r="A92" s="1802" t="s">
        <v>2</v>
      </c>
      <c r="B92" s="1796" t="s">
        <v>3</v>
      </c>
      <c r="C92" s="1796" t="s">
        <v>4</v>
      </c>
      <c r="D92" s="1796" t="s">
        <v>5</v>
      </c>
      <c r="E92" s="1796" t="s">
        <v>7</v>
      </c>
      <c r="F92" s="1796"/>
      <c r="G92" s="1796" t="s">
        <v>8</v>
      </c>
      <c r="H92" s="1796"/>
      <c r="I92" s="1796" t="s">
        <v>9</v>
      </c>
      <c r="J92" s="1796"/>
      <c r="K92" s="1799" t="s">
        <v>6</v>
      </c>
    </row>
    <row r="93" spans="1:11" s="818" customFormat="1" ht="15" customHeight="1">
      <c r="A93" s="1803"/>
      <c r="B93" s="1797"/>
      <c r="C93" s="1797"/>
      <c r="D93" s="1797"/>
      <c r="E93" s="349" t="s">
        <v>10</v>
      </c>
      <c r="F93" s="349" t="s">
        <v>11</v>
      </c>
      <c r="G93" s="349" t="s">
        <v>10</v>
      </c>
      <c r="H93" s="349" t="s">
        <v>11</v>
      </c>
      <c r="I93" s="349" t="s">
        <v>10</v>
      </c>
      <c r="J93" s="349" t="s">
        <v>11</v>
      </c>
      <c r="K93" s="1800"/>
    </row>
    <row r="94" spans="1:11" s="818" customFormat="1" ht="15" customHeight="1">
      <c r="A94" s="411" t="s">
        <v>185</v>
      </c>
      <c r="B94" s="412"/>
      <c r="C94" s="412"/>
      <c r="D94" s="413"/>
      <c r="E94" s="412"/>
      <c r="F94" s="412"/>
      <c r="G94" s="412"/>
      <c r="H94" s="412"/>
      <c r="I94" s="412"/>
      <c r="J94" s="412"/>
      <c r="K94" s="414"/>
    </row>
    <row r="95" spans="1:11" s="818" customFormat="1" ht="15" customHeight="1">
      <c r="A95" s="348" t="s">
        <v>17</v>
      </c>
      <c r="B95" s="349" t="s">
        <v>186</v>
      </c>
      <c r="C95" s="410">
        <v>0.02</v>
      </c>
      <c r="D95" s="349" t="s">
        <v>15</v>
      </c>
      <c r="E95" s="351">
        <f>E50</f>
        <v>11704</v>
      </c>
      <c r="F95" s="351">
        <f>INT(E95*C95)</f>
        <v>234</v>
      </c>
      <c r="G95" s="351">
        <f>G50</f>
        <v>14915</v>
      </c>
      <c r="H95" s="351">
        <f>INT(C95*G95)</f>
        <v>298</v>
      </c>
      <c r="I95" s="351">
        <f>I50</f>
        <v>3752</v>
      </c>
      <c r="J95" s="351">
        <f>INT(C95*I95)</f>
        <v>75</v>
      </c>
      <c r="K95" s="352"/>
    </row>
    <row r="96" spans="1:11" s="818" customFormat="1" ht="15" customHeight="1">
      <c r="A96" s="348" t="s">
        <v>187</v>
      </c>
      <c r="B96" s="353"/>
      <c r="C96" s="350">
        <v>1.2E-2</v>
      </c>
      <c r="D96" s="349" t="s">
        <v>21</v>
      </c>
      <c r="E96" s="351"/>
      <c r="F96" s="351"/>
      <c r="G96" s="351">
        <f ca="1">'11.0시중노임'!F3</f>
        <v>79533</v>
      </c>
      <c r="H96" s="351">
        <f>INT(C96*G96)</f>
        <v>954</v>
      </c>
      <c r="I96" s="351"/>
      <c r="J96" s="351"/>
      <c r="K96" s="352"/>
    </row>
    <row r="97" spans="1:11" s="818" customFormat="1" ht="15" customHeight="1">
      <c r="A97" s="348" t="s">
        <v>24</v>
      </c>
      <c r="B97" s="349"/>
      <c r="C97" s="350">
        <v>1.2E-2</v>
      </c>
      <c r="D97" s="349" t="s">
        <v>21</v>
      </c>
      <c r="E97" s="351"/>
      <c r="F97" s="351"/>
      <c r="G97" s="351">
        <f ca="1">'11.0시중노임'!F6</f>
        <v>68965</v>
      </c>
      <c r="H97" s="351">
        <f>INT(C97*G97)</f>
        <v>827</v>
      </c>
      <c r="I97" s="351"/>
      <c r="J97" s="351"/>
      <c r="K97" s="352"/>
    </row>
    <row r="98" spans="1:11" s="818" customFormat="1" ht="15" customHeight="1">
      <c r="A98" s="354" t="s">
        <v>188</v>
      </c>
      <c r="B98" s="349" t="s">
        <v>189</v>
      </c>
      <c r="C98" s="350" t="s">
        <v>190</v>
      </c>
      <c r="D98" s="349"/>
      <c r="E98" s="351"/>
      <c r="F98" s="351"/>
      <c r="G98" s="351"/>
      <c r="H98" s="351"/>
      <c r="I98" s="351">
        <f>(F95+F96+F97+H95+H96+H97+J95+J96+J97)</f>
        <v>2388</v>
      </c>
      <c r="J98" s="351">
        <f>INT(I98*2.5%)</f>
        <v>59</v>
      </c>
      <c r="K98" s="352"/>
    </row>
    <row r="99" spans="1:11" s="818" customFormat="1" ht="15" customHeight="1">
      <c r="A99" s="348" t="s">
        <v>26</v>
      </c>
      <c r="B99" s="349"/>
      <c r="C99" s="350"/>
      <c r="D99" s="349"/>
      <c r="E99" s="351"/>
      <c r="F99" s="351">
        <f>SUM(F95:F98)</f>
        <v>234</v>
      </c>
      <c r="G99" s="351"/>
      <c r="H99" s="351">
        <f>SUM(H95:H98)</f>
        <v>2079</v>
      </c>
      <c r="I99" s="351"/>
      <c r="J99" s="351">
        <f>SUM(J95:J98)</f>
        <v>134</v>
      </c>
      <c r="K99" s="352">
        <f>INT(SUM(F99:J99))</f>
        <v>2447</v>
      </c>
    </row>
    <row r="100" spans="1:11" s="818" customFormat="1" ht="15" customHeight="1">
      <c r="A100" s="355" t="s">
        <v>191</v>
      </c>
      <c r="B100" s="356"/>
      <c r="C100" s="356"/>
      <c r="D100" s="357"/>
      <c r="E100" s="358"/>
      <c r="F100" s="358"/>
      <c r="G100" s="358"/>
      <c r="H100" s="358"/>
      <c r="I100" s="358"/>
      <c r="J100" s="358"/>
      <c r="K100" s="359"/>
    </row>
    <row r="101" spans="1:11" s="818" customFormat="1" ht="15" customHeight="1">
      <c r="A101" s="348" t="s">
        <v>192</v>
      </c>
      <c r="B101" s="349" t="s">
        <v>193</v>
      </c>
      <c r="C101" s="350">
        <v>0.23</v>
      </c>
      <c r="D101" s="349" t="s">
        <v>182</v>
      </c>
      <c r="E101" s="351">
        <f>E56</f>
        <v>830</v>
      </c>
      <c r="F101" s="351">
        <f>INT(C101*E101)</f>
        <v>190</v>
      </c>
      <c r="G101" s="351"/>
      <c r="H101" s="351"/>
      <c r="I101" s="351"/>
      <c r="J101" s="351"/>
      <c r="K101" s="352"/>
    </row>
    <row r="102" spans="1:11" s="818" customFormat="1" ht="15" customHeight="1">
      <c r="A102" s="348" t="s">
        <v>194</v>
      </c>
      <c r="B102" s="349" t="s">
        <v>195</v>
      </c>
      <c r="C102" s="360">
        <v>0.5</v>
      </c>
      <c r="D102" s="349" t="s">
        <v>182</v>
      </c>
      <c r="E102" s="351">
        <f>E57</f>
        <v>660</v>
      </c>
      <c r="F102" s="351">
        <f>INT(C102*E102)</f>
        <v>330</v>
      </c>
      <c r="G102" s="351"/>
      <c r="H102" s="351"/>
      <c r="I102" s="351"/>
      <c r="J102" s="351"/>
      <c r="K102" s="352"/>
    </row>
    <row r="103" spans="1:11" s="818" customFormat="1" ht="15" customHeight="1">
      <c r="A103" s="348" t="s">
        <v>22</v>
      </c>
      <c r="B103" s="349"/>
      <c r="C103" s="350">
        <v>6.0000000000000001E-3</v>
      </c>
      <c r="D103" s="349" t="s">
        <v>21</v>
      </c>
      <c r="E103" s="351"/>
      <c r="F103" s="351"/>
      <c r="G103" s="351">
        <f ca="1">'11.0시중노임'!F5</f>
        <v>84404</v>
      </c>
      <c r="H103" s="351">
        <f>INT(C103*G103)</f>
        <v>506</v>
      </c>
      <c r="I103" s="351"/>
      <c r="J103" s="351"/>
      <c r="K103" s="352"/>
    </row>
    <row r="104" spans="1:11" s="818" customFormat="1" ht="15" customHeight="1">
      <c r="A104" s="348" t="s">
        <v>24</v>
      </c>
      <c r="B104" s="349"/>
      <c r="C104" s="350">
        <v>6.0000000000000001E-3</v>
      </c>
      <c r="D104" s="349" t="s">
        <v>21</v>
      </c>
      <c r="E104" s="351"/>
      <c r="F104" s="351"/>
      <c r="G104" s="351">
        <f ca="1">'11.0시중노임'!F6</f>
        <v>68965</v>
      </c>
      <c r="H104" s="351">
        <f>INT(C104*G104)</f>
        <v>413</v>
      </c>
      <c r="I104" s="351"/>
      <c r="J104" s="351"/>
      <c r="K104" s="352"/>
    </row>
    <row r="105" spans="1:11" s="818" customFormat="1" ht="15" customHeight="1">
      <c r="A105" s="348" t="s">
        <v>13</v>
      </c>
      <c r="B105" s="349" t="s">
        <v>196</v>
      </c>
      <c r="C105" s="350">
        <v>3</v>
      </c>
      <c r="D105" s="349" t="s">
        <v>14</v>
      </c>
      <c r="E105" s="351">
        <f>SUM(F101:F104)</f>
        <v>520</v>
      </c>
      <c r="F105" s="351">
        <f>INT(E105*C105%)</f>
        <v>15</v>
      </c>
      <c r="G105" s="351"/>
      <c r="H105" s="351"/>
      <c r="I105" s="351"/>
      <c r="J105" s="351"/>
      <c r="K105" s="352"/>
    </row>
    <row r="106" spans="1:11" s="818" customFormat="1" ht="15" customHeight="1">
      <c r="A106" s="348" t="s">
        <v>25</v>
      </c>
      <c r="B106" s="349" t="s">
        <v>197</v>
      </c>
      <c r="C106" s="350">
        <v>2</v>
      </c>
      <c r="D106" s="349" t="s">
        <v>14</v>
      </c>
      <c r="E106" s="351"/>
      <c r="F106" s="351"/>
      <c r="G106" s="351"/>
      <c r="H106" s="351"/>
      <c r="I106" s="351">
        <f>SUM(H101:H106)</f>
        <v>919</v>
      </c>
      <c r="J106" s="351">
        <f>INT(I106*C106%)</f>
        <v>18</v>
      </c>
      <c r="K106" s="352"/>
    </row>
    <row r="107" spans="1:11" s="818" customFormat="1" ht="15" customHeight="1">
      <c r="A107" s="348" t="s">
        <v>26</v>
      </c>
      <c r="B107" s="349"/>
      <c r="C107" s="350"/>
      <c r="D107" s="349"/>
      <c r="E107" s="351"/>
      <c r="F107" s="351">
        <f>SUM(F101:F106)</f>
        <v>535</v>
      </c>
      <c r="G107" s="351"/>
      <c r="H107" s="351">
        <f>SUM(H101:H106)</f>
        <v>919</v>
      </c>
      <c r="I107" s="351"/>
      <c r="J107" s="351">
        <f>SUM(J101:J106)</f>
        <v>18</v>
      </c>
      <c r="K107" s="352">
        <f>INT(SUM(F107:J107))</f>
        <v>1472</v>
      </c>
    </row>
    <row r="108" spans="1:11" s="818" customFormat="1" ht="15" customHeight="1">
      <c r="A108" s="355" t="s">
        <v>198</v>
      </c>
      <c r="B108" s="357"/>
      <c r="C108" s="356"/>
      <c r="D108" s="357"/>
      <c r="E108" s="358"/>
      <c r="F108" s="358"/>
      <c r="G108" s="358"/>
      <c r="H108" s="358"/>
      <c r="I108" s="358"/>
      <c r="J108" s="358"/>
      <c r="K108" s="359"/>
    </row>
    <row r="109" spans="1:11" s="818" customFormat="1" ht="15" customHeight="1">
      <c r="A109" s="348" t="s">
        <v>199</v>
      </c>
      <c r="B109" s="349" t="s">
        <v>200</v>
      </c>
      <c r="C109" s="350">
        <v>1.2</v>
      </c>
      <c r="D109" s="349" t="s">
        <v>28</v>
      </c>
      <c r="E109" s="351">
        <v>3260</v>
      </c>
      <c r="F109" s="351">
        <f>INT(C109*E109)</f>
        <v>3912</v>
      </c>
      <c r="G109" s="351"/>
      <c r="H109" s="351"/>
      <c r="I109" s="351"/>
      <c r="J109" s="351"/>
      <c r="K109" s="352"/>
    </row>
    <row r="110" spans="1:11" s="818" customFormat="1" ht="15" customHeight="1">
      <c r="A110" s="348" t="s">
        <v>201</v>
      </c>
      <c r="B110" s="349" t="s">
        <v>202</v>
      </c>
      <c r="C110" s="350">
        <v>1.2</v>
      </c>
      <c r="D110" s="349" t="s">
        <v>203</v>
      </c>
      <c r="E110" s="351">
        <v>240</v>
      </c>
      <c r="F110" s="351">
        <f>INT(C110*E110)</f>
        <v>288</v>
      </c>
      <c r="G110" s="351"/>
      <c r="H110" s="351"/>
      <c r="I110" s="351"/>
      <c r="J110" s="351"/>
      <c r="K110" s="352"/>
    </row>
    <row r="111" spans="1:11" s="818" customFormat="1" ht="15" customHeight="1">
      <c r="A111" s="348" t="s">
        <v>20</v>
      </c>
      <c r="B111" s="349"/>
      <c r="C111" s="350">
        <v>5.0000000000000001E-3</v>
      </c>
      <c r="D111" s="349" t="s">
        <v>21</v>
      </c>
      <c r="E111" s="351"/>
      <c r="F111" s="351"/>
      <c r="G111" s="351">
        <f ca="1">'11.0시중노임'!F4</f>
        <v>92218</v>
      </c>
      <c r="H111" s="351">
        <f>INT(C111*G111)</f>
        <v>461</v>
      </c>
      <c r="I111" s="351"/>
      <c r="J111" s="351"/>
      <c r="K111" s="352"/>
    </row>
    <row r="112" spans="1:11" s="818" customFormat="1" ht="15" customHeight="1">
      <c r="A112" s="348" t="s">
        <v>22</v>
      </c>
      <c r="B112" s="349"/>
      <c r="C112" s="350">
        <v>0.02</v>
      </c>
      <c r="D112" s="349" t="s">
        <v>21</v>
      </c>
      <c r="E112" s="351"/>
      <c r="F112" s="351"/>
      <c r="G112" s="351">
        <f ca="1">'11.0시중노임'!F5</f>
        <v>84404</v>
      </c>
      <c r="H112" s="351">
        <f>INT(C112*G112)</f>
        <v>1688</v>
      </c>
      <c r="I112" s="351"/>
      <c r="J112" s="351"/>
      <c r="K112" s="352"/>
    </row>
    <row r="113" spans="1:11" s="818" customFormat="1" ht="15" customHeight="1">
      <c r="A113" s="348" t="s">
        <v>24</v>
      </c>
      <c r="B113" s="349"/>
      <c r="C113" s="360">
        <v>0.02</v>
      </c>
      <c r="D113" s="349" t="s">
        <v>21</v>
      </c>
      <c r="E113" s="351"/>
      <c r="F113" s="351"/>
      <c r="G113" s="351">
        <f ca="1">'11.0시중노임'!F6</f>
        <v>68965</v>
      </c>
      <c r="H113" s="351">
        <f>INT(C113*G113)</f>
        <v>1379</v>
      </c>
      <c r="I113" s="351"/>
      <c r="J113" s="351"/>
      <c r="K113" s="352"/>
    </row>
    <row r="114" spans="1:11" s="818" customFormat="1" ht="15" customHeight="1">
      <c r="A114" s="348" t="s">
        <v>13</v>
      </c>
      <c r="B114" s="349" t="s">
        <v>196</v>
      </c>
      <c r="C114" s="350">
        <v>3</v>
      </c>
      <c r="D114" s="349" t="s">
        <v>14</v>
      </c>
      <c r="E114" s="351">
        <f>SUM(F109:F113)</f>
        <v>4200</v>
      </c>
      <c r="F114" s="351">
        <f>INT(E114*C114%)</f>
        <v>126</v>
      </c>
      <c r="G114" s="351"/>
      <c r="H114" s="351"/>
      <c r="I114" s="351"/>
      <c r="J114" s="351"/>
      <c r="K114" s="352"/>
    </row>
    <row r="115" spans="1:11" s="818" customFormat="1" ht="15" customHeight="1">
      <c r="A115" s="348" t="s">
        <v>25</v>
      </c>
      <c r="B115" s="349" t="s">
        <v>197</v>
      </c>
      <c r="C115" s="350">
        <v>2</v>
      </c>
      <c r="D115" s="349" t="s">
        <v>14</v>
      </c>
      <c r="E115" s="351"/>
      <c r="F115" s="351"/>
      <c r="G115" s="351"/>
      <c r="H115" s="351"/>
      <c r="I115" s="351">
        <f>SUM(H109:H114)</f>
        <v>3528</v>
      </c>
      <c r="J115" s="351">
        <f>INT(I115*C115%)</f>
        <v>70</v>
      </c>
      <c r="K115" s="352"/>
    </row>
    <row r="116" spans="1:11" s="818" customFormat="1" ht="15" customHeight="1">
      <c r="A116" s="348" t="s">
        <v>26</v>
      </c>
      <c r="B116" s="349"/>
      <c r="C116" s="361"/>
      <c r="D116" s="349"/>
      <c r="E116" s="351"/>
      <c r="F116" s="351">
        <f>INT(SUM(F109:F115))</f>
        <v>4326</v>
      </c>
      <c r="G116" s="351"/>
      <c r="H116" s="351">
        <f>INT(SUM(H109:H115))</f>
        <v>3528</v>
      </c>
      <c r="I116" s="351"/>
      <c r="J116" s="351">
        <f>INT(SUM(J109:J115))</f>
        <v>70</v>
      </c>
      <c r="K116" s="352">
        <f>INT(SUM(F116:J116))</f>
        <v>7924</v>
      </c>
    </row>
    <row r="117" spans="1:11" s="818" customFormat="1" ht="15" customHeight="1">
      <c r="A117" s="355" t="s">
        <v>183</v>
      </c>
      <c r="B117" s="357"/>
      <c r="C117" s="356"/>
      <c r="D117" s="357"/>
      <c r="E117" s="358"/>
      <c r="F117" s="358"/>
      <c r="G117" s="358"/>
      <c r="H117" s="358"/>
      <c r="I117" s="358"/>
      <c r="J117" s="358"/>
      <c r="K117" s="359"/>
    </row>
    <row r="118" spans="1:11" s="818" customFormat="1" ht="15" customHeight="1">
      <c r="A118" s="348" t="s">
        <v>204</v>
      </c>
      <c r="B118" s="349"/>
      <c r="C118" s="350">
        <v>0.12</v>
      </c>
      <c r="D118" s="349" t="s">
        <v>205</v>
      </c>
      <c r="E118" s="351">
        <f>E73</f>
        <v>54000</v>
      </c>
      <c r="F118" s="351">
        <f>INT(C118*E118)</f>
        <v>6480</v>
      </c>
      <c r="G118" s="351"/>
      <c r="H118" s="351"/>
      <c r="I118" s="351"/>
      <c r="J118" s="351"/>
      <c r="K118" s="352"/>
    </row>
    <row r="119" spans="1:11" s="818" customFormat="1" ht="15" customHeight="1">
      <c r="A119" s="348" t="s">
        <v>206</v>
      </c>
      <c r="B119" s="349" t="s">
        <v>207</v>
      </c>
      <c r="C119" s="350">
        <v>180</v>
      </c>
      <c r="D119" s="349" t="s">
        <v>12</v>
      </c>
      <c r="E119" s="351">
        <f>E74</f>
        <v>5</v>
      </c>
      <c r="F119" s="351">
        <f>INT(C119*E119)</f>
        <v>900</v>
      </c>
      <c r="G119" s="351"/>
      <c r="H119" s="351"/>
      <c r="I119" s="351"/>
      <c r="J119" s="351"/>
      <c r="K119" s="352"/>
    </row>
    <row r="120" spans="1:11" s="818" customFormat="1" ht="15" customHeight="1">
      <c r="A120" s="348" t="s">
        <v>208</v>
      </c>
      <c r="B120" s="349" t="s">
        <v>209</v>
      </c>
      <c r="C120" s="350">
        <v>0.38400000000000001</v>
      </c>
      <c r="D120" s="349" t="s">
        <v>210</v>
      </c>
      <c r="E120" s="351">
        <f>E75</f>
        <v>4000</v>
      </c>
      <c r="F120" s="351">
        <f>INT(C120*E120)</f>
        <v>1536</v>
      </c>
      <c r="G120" s="351"/>
      <c r="H120" s="351"/>
      <c r="I120" s="351"/>
      <c r="J120" s="351"/>
      <c r="K120" s="352"/>
    </row>
    <row r="121" spans="1:11" s="818" customFormat="1" ht="15" customHeight="1">
      <c r="A121" s="348" t="s">
        <v>211</v>
      </c>
      <c r="B121" s="349" t="s">
        <v>212</v>
      </c>
      <c r="C121" s="350">
        <v>0.12</v>
      </c>
      <c r="D121" s="349" t="s">
        <v>15</v>
      </c>
      <c r="E121" s="351">
        <f>E76</f>
        <v>2272</v>
      </c>
      <c r="F121" s="351">
        <f>INT(C121*E121)</f>
        <v>272</v>
      </c>
      <c r="G121" s="351">
        <f>G76</f>
        <v>14915</v>
      </c>
      <c r="H121" s="351">
        <f>INT(C121*G121)</f>
        <v>1789</v>
      </c>
      <c r="I121" s="351">
        <f t="shared" ref="I121:I128" si="3">I76</f>
        <v>4060</v>
      </c>
      <c r="J121" s="351">
        <f t="shared" ref="J121:J128" si="4">INT(C121*I121)</f>
        <v>487</v>
      </c>
      <c r="K121" s="352"/>
    </row>
    <row r="122" spans="1:11" s="818" customFormat="1" ht="15" customHeight="1">
      <c r="A122" s="348" t="s">
        <v>213</v>
      </c>
      <c r="B122" s="349" t="s">
        <v>214</v>
      </c>
      <c r="C122" s="350">
        <v>0.12</v>
      </c>
      <c r="D122" s="349" t="s">
        <v>15</v>
      </c>
      <c r="E122" s="351"/>
      <c r="F122" s="351"/>
      <c r="G122" s="351"/>
      <c r="H122" s="351"/>
      <c r="I122" s="351">
        <f t="shared" si="3"/>
        <v>15971</v>
      </c>
      <c r="J122" s="351">
        <f t="shared" si="4"/>
        <v>1916</v>
      </c>
      <c r="K122" s="352"/>
    </row>
    <row r="123" spans="1:11" s="818" customFormat="1" ht="15" customHeight="1">
      <c r="A123" s="348" t="s">
        <v>16</v>
      </c>
      <c r="B123" s="349" t="s">
        <v>215</v>
      </c>
      <c r="C123" s="350">
        <v>0.12</v>
      </c>
      <c r="D123" s="349" t="s">
        <v>15</v>
      </c>
      <c r="E123" s="351">
        <f>E78</f>
        <v>29577</v>
      </c>
      <c r="F123" s="351">
        <f>INT(C123*E123)</f>
        <v>3549</v>
      </c>
      <c r="G123" s="351">
        <f>G78</f>
        <v>20561</v>
      </c>
      <c r="H123" s="351">
        <f>INT(C123*G123)</f>
        <v>2467</v>
      </c>
      <c r="I123" s="351">
        <f t="shared" si="3"/>
        <v>4656</v>
      </c>
      <c r="J123" s="351">
        <f t="shared" si="4"/>
        <v>558</v>
      </c>
      <c r="K123" s="352"/>
    </row>
    <row r="124" spans="1:11" s="818" customFormat="1" ht="15" customHeight="1">
      <c r="A124" s="348" t="s">
        <v>17</v>
      </c>
      <c r="B124" s="349" t="s">
        <v>186</v>
      </c>
      <c r="C124" s="350">
        <v>0.12</v>
      </c>
      <c r="D124" s="349" t="s">
        <v>15</v>
      </c>
      <c r="E124" s="351">
        <f>E79</f>
        <v>11704</v>
      </c>
      <c r="F124" s="351">
        <f>INT(C124*E124)</f>
        <v>1404</v>
      </c>
      <c r="G124" s="351">
        <f>G79</f>
        <v>11704</v>
      </c>
      <c r="H124" s="351">
        <f>INT(C124*G124)</f>
        <v>1404</v>
      </c>
      <c r="I124" s="351">
        <f t="shared" si="3"/>
        <v>3752</v>
      </c>
      <c r="J124" s="351">
        <f t="shared" si="4"/>
        <v>450</v>
      </c>
      <c r="K124" s="352"/>
    </row>
    <row r="125" spans="1:11" s="818" customFormat="1" ht="15" customHeight="1">
      <c r="A125" s="348" t="s">
        <v>216</v>
      </c>
      <c r="B125" s="349" t="s">
        <v>223</v>
      </c>
      <c r="C125" s="350">
        <v>0.12</v>
      </c>
      <c r="D125" s="349" t="s">
        <v>15</v>
      </c>
      <c r="E125" s="351">
        <f>E80</f>
        <v>4036</v>
      </c>
      <c r="F125" s="351">
        <f>INT(C125*E125)</f>
        <v>484</v>
      </c>
      <c r="G125" s="351">
        <f>G80</f>
        <v>17696</v>
      </c>
      <c r="H125" s="351">
        <f>INT(C125*G125)</f>
        <v>2123</v>
      </c>
      <c r="I125" s="351">
        <f t="shared" si="3"/>
        <v>8036</v>
      </c>
      <c r="J125" s="351">
        <f t="shared" si="4"/>
        <v>964</v>
      </c>
      <c r="K125" s="352"/>
    </row>
    <row r="126" spans="1:11" s="818" customFormat="1" ht="15" customHeight="1">
      <c r="A126" s="348" t="s">
        <v>18</v>
      </c>
      <c r="B126" s="349" t="s">
        <v>19</v>
      </c>
      <c r="C126" s="350">
        <v>0.12</v>
      </c>
      <c r="D126" s="349" t="s">
        <v>15</v>
      </c>
      <c r="E126" s="351">
        <f>E81</f>
        <v>13117</v>
      </c>
      <c r="F126" s="351">
        <f>INT(C126*E126)</f>
        <v>1574</v>
      </c>
      <c r="G126" s="351">
        <f>G81</f>
        <v>17696</v>
      </c>
      <c r="H126" s="351">
        <f>INT(C126*G126)</f>
        <v>2123</v>
      </c>
      <c r="I126" s="351">
        <f t="shared" si="3"/>
        <v>7823</v>
      </c>
      <c r="J126" s="351">
        <f t="shared" si="4"/>
        <v>938</v>
      </c>
      <c r="K126" s="352"/>
    </row>
    <row r="127" spans="1:11" s="818" customFormat="1" ht="15" customHeight="1">
      <c r="A127" s="348" t="s">
        <v>218</v>
      </c>
      <c r="B127" s="349" t="s">
        <v>219</v>
      </c>
      <c r="C127" s="350">
        <v>0.12</v>
      </c>
      <c r="D127" s="349" t="s">
        <v>15</v>
      </c>
      <c r="E127" s="351"/>
      <c r="F127" s="351"/>
      <c r="G127" s="351"/>
      <c r="H127" s="351"/>
      <c r="I127" s="351">
        <f t="shared" si="3"/>
        <v>21808</v>
      </c>
      <c r="J127" s="351">
        <f t="shared" si="4"/>
        <v>2616</v>
      </c>
      <c r="K127" s="352"/>
    </row>
    <row r="128" spans="1:11" s="818" customFormat="1" ht="15" customHeight="1">
      <c r="A128" s="348" t="s">
        <v>220</v>
      </c>
      <c r="B128" s="349" t="s">
        <v>221</v>
      </c>
      <c r="C128" s="350">
        <v>0.12</v>
      </c>
      <c r="D128" s="349" t="s">
        <v>15</v>
      </c>
      <c r="E128" s="351"/>
      <c r="F128" s="351"/>
      <c r="G128" s="351"/>
      <c r="H128" s="351"/>
      <c r="I128" s="351">
        <f t="shared" si="3"/>
        <v>7417</v>
      </c>
      <c r="J128" s="351">
        <f t="shared" si="4"/>
        <v>890</v>
      </c>
      <c r="K128" s="352"/>
    </row>
    <row r="129" spans="1:11" s="818" customFormat="1" ht="15" customHeight="1">
      <c r="A129" s="348" t="s">
        <v>20</v>
      </c>
      <c r="B129" s="349"/>
      <c r="C129" s="350">
        <v>1.4E-2</v>
      </c>
      <c r="D129" s="349" t="s">
        <v>21</v>
      </c>
      <c r="E129" s="350"/>
      <c r="F129" s="351"/>
      <c r="G129" s="351">
        <f ca="1">'11.0시중노임'!F4</f>
        <v>92218</v>
      </c>
      <c r="H129" s="351">
        <f>INT(C129*G129)</f>
        <v>1291</v>
      </c>
      <c r="I129" s="351"/>
      <c r="J129" s="351"/>
      <c r="K129" s="352"/>
    </row>
    <row r="130" spans="1:11" s="818" customFormat="1" ht="15" customHeight="1">
      <c r="A130" s="348" t="s">
        <v>22</v>
      </c>
      <c r="B130" s="349"/>
      <c r="C130" s="350">
        <v>0.06</v>
      </c>
      <c r="D130" s="349" t="s">
        <v>21</v>
      </c>
      <c r="E130" s="350"/>
      <c r="F130" s="351"/>
      <c r="G130" s="351">
        <f ca="1">'11.0시중노임'!F5</f>
        <v>84404</v>
      </c>
      <c r="H130" s="351">
        <f>INT(C130*G130)</f>
        <v>5064</v>
      </c>
      <c r="I130" s="351"/>
      <c r="J130" s="351"/>
      <c r="K130" s="352"/>
    </row>
    <row r="131" spans="1:11" s="818" customFormat="1" ht="15" customHeight="1">
      <c r="A131" s="348" t="s">
        <v>23</v>
      </c>
      <c r="B131" s="349"/>
      <c r="C131" s="350">
        <v>1.4E-2</v>
      </c>
      <c r="D131" s="349" t="s">
        <v>21</v>
      </c>
      <c r="E131" s="350"/>
      <c r="F131" s="351"/>
      <c r="G131" s="351">
        <f ca="1">'11.0시중노임'!F12</f>
        <v>86521</v>
      </c>
      <c r="H131" s="351">
        <f>INT(C131*G131)</f>
        <v>1211</v>
      </c>
      <c r="I131" s="351"/>
      <c r="J131" s="351"/>
      <c r="K131" s="352"/>
    </row>
    <row r="132" spans="1:11" s="818" customFormat="1" ht="15" customHeight="1">
      <c r="A132" s="348" t="s">
        <v>24</v>
      </c>
      <c r="B132" s="349"/>
      <c r="C132" s="350">
        <v>0.12</v>
      </c>
      <c r="D132" s="349" t="s">
        <v>21</v>
      </c>
      <c r="E132" s="350"/>
      <c r="F132" s="351"/>
      <c r="G132" s="351">
        <f ca="1">'11.0시중노임'!F6</f>
        <v>68965</v>
      </c>
      <c r="H132" s="351">
        <f>INT(C132*G132)</f>
        <v>8275</v>
      </c>
      <c r="I132" s="351"/>
      <c r="J132" s="351"/>
      <c r="K132" s="352"/>
    </row>
    <row r="133" spans="1:11" s="818" customFormat="1" ht="15" customHeight="1">
      <c r="A133" s="348" t="s">
        <v>26</v>
      </c>
      <c r="B133" s="349"/>
      <c r="C133" s="350"/>
      <c r="D133" s="349"/>
      <c r="E133" s="350"/>
      <c r="F133" s="351">
        <f>INT(SUM(F118:F132))</f>
        <v>16199</v>
      </c>
      <c r="G133" s="351"/>
      <c r="H133" s="351">
        <f>INT(SUM(H118:H132))</f>
        <v>25747</v>
      </c>
      <c r="I133" s="351"/>
      <c r="J133" s="351">
        <f>INT(SUM(J118:J132))</f>
        <v>8819</v>
      </c>
      <c r="K133" s="352">
        <f>INT(SUM(F133:J133))</f>
        <v>50765</v>
      </c>
    </row>
    <row r="134" spans="1:11" s="818" customFormat="1" ht="15" customHeight="1">
      <c r="A134" s="363" t="s">
        <v>27</v>
      </c>
      <c r="B134" s="364"/>
      <c r="C134" s="364"/>
      <c r="D134" s="365"/>
      <c r="E134" s="364"/>
      <c r="F134" s="366">
        <f>F133+F116+F107+F99</f>
        <v>21294</v>
      </c>
      <c r="G134" s="366"/>
      <c r="H134" s="366">
        <f>H133+H116+H107+H99</f>
        <v>32273</v>
      </c>
      <c r="I134" s="366"/>
      <c r="J134" s="366">
        <f>J133+J116+J107+J99</f>
        <v>9041</v>
      </c>
      <c r="K134" s="367">
        <f>K133+K116+K107+K99</f>
        <v>62608</v>
      </c>
    </row>
    <row r="135" spans="1:11" s="818" customFormat="1" ht="15" customHeight="1">
      <c r="A135" s="342"/>
      <c r="B135" s="342"/>
      <c r="C135" s="342"/>
      <c r="D135" s="368"/>
      <c r="E135" s="342"/>
      <c r="F135" s="342"/>
      <c r="G135" s="1798"/>
      <c r="H135" s="1798"/>
      <c r="I135" s="1798"/>
      <c r="J135" s="1798"/>
      <c r="K135" s="1798"/>
    </row>
    <row r="136" spans="1:11" s="818" customFormat="1" ht="12.95" customHeight="1">
      <c r="A136" s="342"/>
      <c r="B136" s="342"/>
      <c r="C136" s="342"/>
      <c r="D136" s="368"/>
      <c r="E136" s="342"/>
      <c r="F136" s="342"/>
      <c r="G136" s="342"/>
      <c r="H136" s="342"/>
      <c r="I136" s="369"/>
      <c r="J136" s="342"/>
      <c r="K136" s="342"/>
    </row>
  </sheetData>
  <mergeCells count="30">
    <mergeCell ref="G45:K45"/>
    <mergeCell ref="A46:K46"/>
    <mergeCell ref="A92:A93"/>
    <mergeCell ref="I92:J92"/>
    <mergeCell ref="K92:K93"/>
    <mergeCell ref="A47:A48"/>
    <mergeCell ref="B47:B48"/>
    <mergeCell ref="C92:C93"/>
    <mergeCell ref="D92:D93"/>
    <mergeCell ref="C47:C48"/>
    <mergeCell ref="D47:D48"/>
    <mergeCell ref="A2:A3"/>
    <mergeCell ref="B2:B3"/>
    <mergeCell ref="C2:C3"/>
    <mergeCell ref="A1:K1"/>
    <mergeCell ref="I2:J2"/>
    <mergeCell ref="K2:K3"/>
    <mergeCell ref="D2:D3"/>
    <mergeCell ref="E2:F2"/>
    <mergeCell ref="G2:H2"/>
    <mergeCell ref="B92:B93"/>
    <mergeCell ref="G135:K135"/>
    <mergeCell ref="E47:F47"/>
    <mergeCell ref="G47:H47"/>
    <mergeCell ref="I47:J47"/>
    <mergeCell ref="K47:K48"/>
    <mergeCell ref="E92:F92"/>
    <mergeCell ref="G92:H92"/>
    <mergeCell ref="G90:K90"/>
    <mergeCell ref="A91:K9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pageOrder="overThenDown" orientation="portrait" horizontalDpi="4294967294" verticalDpi="300" r:id="rId1"/>
  <headerFooter alignWithMargins="0"/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>
  <dimension ref="A1:Z123"/>
  <sheetViews>
    <sheetView view="pageBreakPreview" topLeftCell="A19" zoomScale="75" zoomScaleSheetLayoutView="75" workbookViewId="0">
      <selection activeCell="P6" sqref="P6"/>
    </sheetView>
  </sheetViews>
  <sheetFormatPr defaultColWidth="2.77734375" defaultRowHeight="17.100000000000001" customHeight="1"/>
  <cols>
    <col min="1" max="4" width="2.77734375" style="157" customWidth="1"/>
    <col min="5" max="5" width="3.109375" style="157" customWidth="1"/>
    <col min="6" max="11" width="2.77734375" style="157" customWidth="1"/>
    <col min="12" max="12" width="3" style="157" customWidth="1"/>
    <col min="13" max="13" width="2.77734375" style="157" customWidth="1"/>
    <col min="14" max="14" width="3.21875" style="157" customWidth="1"/>
    <col min="15" max="16384" width="2.77734375" style="157"/>
  </cols>
  <sheetData>
    <row r="1" spans="4:4" customFormat="1" ht="13.5">
      <c r="D1" s="338"/>
    </row>
    <row r="2" spans="4:4" customFormat="1" ht="13.5">
      <c r="D2" s="338"/>
    </row>
    <row r="3" spans="4:4" customFormat="1" ht="13.5">
      <c r="D3" s="338"/>
    </row>
    <row r="4" spans="4:4" customFormat="1" ht="13.5">
      <c r="D4" s="338"/>
    </row>
    <row r="5" spans="4:4" customFormat="1" ht="13.5">
      <c r="D5" s="338"/>
    </row>
    <row r="6" spans="4:4" customFormat="1" ht="13.5">
      <c r="D6" s="338"/>
    </row>
    <row r="7" spans="4:4" customFormat="1" ht="13.5">
      <c r="D7" s="338"/>
    </row>
    <row r="8" spans="4:4" customFormat="1" ht="13.5">
      <c r="D8" s="338"/>
    </row>
    <row r="9" spans="4:4" customFormat="1" ht="13.5">
      <c r="D9" s="338"/>
    </row>
    <row r="10" spans="4:4" customFormat="1" ht="13.5">
      <c r="D10" s="338"/>
    </row>
    <row r="11" spans="4:4" customFormat="1" ht="13.5">
      <c r="D11" s="338"/>
    </row>
    <row r="12" spans="4:4" customFormat="1" ht="13.5">
      <c r="D12" s="338"/>
    </row>
    <row r="13" spans="4:4" customFormat="1" ht="13.5">
      <c r="D13" s="338"/>
    </row>
    <row r="14" spans="4:4" customFormat="1" ht="13.5">
      <c r="D14" s="338"/>
    </row>
    <row r="15" spans="4:4" customFormat="1" ht="13.5">
      <c r="D15" s="338"/>
    </row>
    <row r="16" spans="4:4" customFormat="1" ht="13.5">
      <c r="D16" s="338"/>
    </row>
    <row r="17" spans="3:18" customFormat="1" ht="13.5">
      <c r="D17" s="338"/>
    </row>
    <row r="18" spans="3:18" customFormat="1" ht="13.5">
      <c r="D18" s="338"/>
    </row>
    <row r="19" spans="3:18" customFormat="1" ht="13.5">
      <c r="D19" s="338"/>
    </row>
    <row r="20" spans="3:18" s="339" customFormat="1" ht="30" customHeight="1">
      <c r="C20" s="1554"/>
      <c r="D20" s="1554"/>
      <c r="E20" s="1554"/>
      <c r="F20" s="1554"/>
      <c r="G20" s="1554"/>
      <c r="H20" s="1554"/>
    </row>
    <row r="21" spans="3:18" s="339" customFormat="1" ht="30" customHeight="1">
      <c r="D21" s="387"/>
    </row>
    <row r="22" spans="3:18" s="339" customFormat="1" ht="30" customHeight="1">
      <c r="C22" s="400"/>
      <c r="D22" s="1543"/>
      <c r="E22" s="1543"/>
      <c r="F22" s="1543"/>
      <c r="G22" s="1543"/>
      <c r="H22" s="400"/>
      <c r="I22" s="1555" t="s">
        <v>268</v>
      </c>
      <c r="J22" s="1549"/>
      <c r="K22" s="1549" t="s">
        <v>271</v>
      </c>
      <c r="L22" s="1549"/>
      <c r="M22" s="1549" t="s">
        <v>274</v>
      </c>
      <c r="N22" s="1549"/>
      <c r="O22" s="1549"/>
      <c r="P22" s="1549" t="s">
        <v>275</v>
      </c>
      <c r="Q22" s="1549"/>
      <c r="R22" s="1550"/>
    </row>
    <row r="23" spans="3:18" s="339" customFormat="1" ht="30" customHeight="1">
      <c r="C23" s="402"/>
      <c r="D23" s="403"/>
      <c r="E23" s="400"/>
      <c r="F23" s="1542"/>
      <c r="G23" s="1543"/>
      <c r="H23" s="400"/>
      <c r="I23" s="1547" t="s">
        <v>269</v>
      </c>
      <c r="J23" s="1548"/>
      <c r="K23" s="1548" t="s">
        <v>272</v>
      </c>
      <c r="L23" s="1548"/>
      <c r="M23" s="1552">
        <f>X83</f>
        <v>5069</v>
      </c>
      <c r="N23" s="1548"/>
      <c r="O23" s="1548"/>
      <c r="P23" s="1548"/>
      <c r="Q23" s="1548"/>
      <c r="R23" s="1551"/>
    </row>
    <row r="24" spans="3:18" s="339" customFormat="1" ht="30" customHeight="1">
      <c r="C24" s="402"/>
      <c r="D24" s="403"/>
      <c r="E24" s="400"/>
      <c r="F24" s="1542"/>
      <c r="G24" s="1543"/>
      <c r="H24" s="400"/>
      <c r="I24" s="1544" t="s">
        <v>270</v>
      </c>
      <c r="J24" s="1545"/>
      <c r="K24" s="1545" t="s">
        <v>273</v>
      </c>
      <c r="L24" s="1545"/>
      <c r="M24" s="1553">
        <f>X123</f>
        <v>9979</v>
      </c>
      <c r="N24" s="1545"/>
      <c r="O24" s="1545"/>
      <c r="P24" s="1545"/>
      <c r="Q24" s="1545"/>
      <c r="R24" s="1546"/>
    </row>
    <row r="25" spans="3:18" s="339" customFormat="1" ht="30" customHeight="1">
      <c r="C25" s="402"/>
      <c r="D25" s="403"/>
      <c r="E25" s="400"/>
      <c r="F25" s="1542"/>
      <c r="G25" s="1543"/>
      <c r="H25" s="400"/>
    </row>
    <row r="26" spans="3:18" customFormat="1" ht="13.5">
      <c r="D26" s="338"/>
    </row>
    <row r="27" spans="3:18" customFormat="1" ht="13.5">
      <c r="D27" s="338"/>
    </row>
    <row r="28" spans="3:18" customFormat="1" ht="13.5">
      <c r="D28" s="338"/>
    </row>
    <row r="29" spans="3:18" customFormat="1" ht="13.5">
      <c r="D29" s="338"/>
    </row>
    <row r="30" spans="3:18" customFormat="1" ht="13.5">
      <c r="D30" s="338"/>
    </row>
    <row r="31" spans="3:18" customFormat="1" ht="13.5">
      <c r="D31" s="338"/>
    </row>
    <row r="32" spans="3:18" customFormat="1" ht="13.5">
      <c r="D32" s="338"/>
    </row>
    <row r="33" spans="1:26" customFormat="1" ht="13.5">
      <c r="D33" s="338"/>
    </row>
    <row r="34" spans="1:26" customFormat="1" ht="13.5">
      <c r="D34" s="338"/>
    </row>
    <row r="35" spans="1:26" customFormat="1" ht="13.5">
      <c r="D35" s="338"/>
    </row>
    <row r="36" spans="1:26" customFormat="1" ht="13.5">
      <c r="D36" s="338"/>
    </row>
    <row r="37" spans="1:26" customFormat="1" ht="13.5">
      <c r="D37" s="338"/>
    </row>
    <row r="38" spans="1:26" customFormat="1" ht="13.5">
      <c r="D38" s="338"/>
    </row>
    <row r="39" spans="1:26" customFormat="1" ht="13.5">
      <c r="D39" s="338"/>
    </row>
    <row r="40" spans="1:26" customFormat="1" ht="13.5">
      <c r="D40" s="338"/>
    </row>
    <row r="41" spans="1:26" customFormat="1" ht="13.5">
      <c r="D41" s="338"/>
    </row>
    <row r="42" spans="1:26" customFormat="1" ht="13.5">
      <c r="D42" s="338"/>
    </row>
    <row r="43" spans="1:26" customFormat="1" ht="13.5">
      <c r="D43" s="338"/>
    </row>
    <row r="44" spans="1:26" ht="17.100000000000001" customHeight="1">
      <c r="A44" s="1510" t="s">
        <v>1076</v>
      </c>
      <c r="B44" s="1511"/>
      <c r="C44" s="1511"/>
      <c r="D44" s="1511"/>
      <c r="E44" s="1511"/>
      <c r="F44" s="1511"/>
      <c r="G44" s="1511"/>
      <c r="H44" s="1511"/>
      <c r="I44" s="1511"/>
      <c r="J44" s="1511"/>
      <c r="K44" s="1511"/>
      <c r="L44" s="1511"/>
      <c r="M44" s="1511"/>
      <c r="N44" s="1512"/>
      <c r="O44" s="1810" t="s">
        <v>825</v>
      </c>
      <c r="P44" s="1810"/>
      <c r="Q44" s="1810"/>
      <c r="R44" s="1810" t="s">
        <v>826</v>
      </c>
      <c r="S44" s="1810"/>
      <c r="T44" s="1810"/>
      <c r="U44" s="1810" t="s">
        <v>1054</v>
      </c>
      <c r="V44" s="1810"/>
      <c r="W44" s="1810"/>
      <c r="X44" s="1810" t="s">
        <v>989</v>
      </c>
      <c r="Y44" s="1810"/>
      <c r="Z44" s="1811"/>
    </row>
    <row r="45" spans="1:26" ht="17.100000000000001" customHeight="1">
      <c r="A45" s="295" t="s">
        <v>1077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1805"/>
      <c r="P45" s="1805"/>
      <c r="Q45" s="1805"/>
      <c r="R45" s="1805"/>
      <c r="S45" s="1805"/>
      <c r="T45" s="1805"/>
      <c r="U45" s="1805"/>
      <c r="V45" s="1805"/>
      <c r="W45" s="1805"/>
      <c r="X45" s="1805"/>
      <c r="Y45" s="1805"/>
      <c r="Z45" s="1807"/>
    </row>
    <row r="46" spans="1:26" ht="17.100000000000001" customHeight="1">
      <c r="A46" s="297"/>
      <c r="B46" s="296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1805"/>
      <c r="P46" s="1805"/>
      <c r="Q46" s="1805"/>
      <c r="R46" s="1805"/>
      <c r="S46" s="1805"/>
      <c r="T46" s="1805"/>
      <c r="U46" s="1805"/>
      <c r="V46" s="1805"/>
      <c r="W46" s="1805"/>
      <c r="X46" s="1805"/>
      <c r="Y46" s="1805"/>
      <c r="Z46" s="1807"/>
    </row>
    <row r="47" spans="1:26" ht="17.100000000000001" customHeight="1">
      <c r="A47" s="298" t="s">
        <v>1047</v>
      </c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1805"/>
      <c r="P47" s="1805"/>
      <c r="Q47" s="1805"/>
      <c r="R47" s="1805"/>
      <c r="S47" s="1805"/>
      <c r="T47" s="1805"/>
      <c r="U47" s="1805"/>
      <c r="V47" s="1805"/>
      <c r="W47" s="1805"/>
      <c r="X47" s="1805"/>
      <c r="Y47" s="1805"/>
      <c r="Z47" s="1807"/>
    </row>
    <row r="48" spans="1:26" ht="17.100000000000001" customHeight="1">
      <c r="A48" s="569" t="s">
        <v>1579</v>
      </c>
      <c r="B48" s="299"/>
      <c r="C48" s="299"/>
      <c r="D48" s="299"/>
      <c r="E48" s="299"/>
      <c r="F48" s="299"/>
      <c r="G48" s="299"/>
      <c r="H48" s="299"/>
      <c r="I48" s="296"/>
      <c r="J48" s="296"/>
      <c r="K48" s="296"/>
      <c r="L48" s="296"/>
      <c r="M48" s="296"/>
      <c r="N48" s="296"/>
      <c r="O48" s="1805"/>
      <c r="P48" s="1805"/>
      <c r="Q48" s="1805"/>
      <c r="R48" s="1805"/>
      <c r="S48" s="1805"/>
      <c r="T48" s="1805"/>
      <c r="U48" s="1805"/>
      <c r="V48" s="1805"/>
      <c r="W48" s="1805"/>
      <c r="X48" s="1805"/>
      <c r="Y48" s="1805"/>
      <c r="Z48" s="1807"/>
    </row>
    <row r="49" spans="1:26" ht="17.100000000000001" customHeight="1">
      <c r="A49" s="298"/>
      <c r="B49" s="570">
        <v>11</v>
      </c>
      <c r="C49" s="570" t="s">
        <v>1049</v>
      </c>
      <c r="D49" s="570" t="s">
        <v>1050</v>
      </c>
      <c r="E49" s="572">
        <v>1.1000000000000001</v>
      </c>
      <c r="F49" s="571" t="s">
        <v>1048</v>
      </c>
      <c r="G49" s="571">
        <v>3</v>
      </c>
      <c r="H49" s="570" t="s">
        <v>1051</v>
      </c>
      <c r="I49" s="1509">
        <f ca="1">'8.0자재단가'!I21</f>
        <v>220</v>
      </c>
      <c r="J49" s="1509"/>
      <c r="K49" s="299"/>
      <c r="L49" s="1508"/>
      <c r="M49" s="1508"/>
      <c r="N49" s="299"/>
      <c r="O49" s="1805"/>
      <c r="P49" s="1805"/>
      <c r="Q49" s="1805"/>
      <c r="R49" s="1805"/>
      <c r="S49" s="1805"/>
      <c r="T49" s="1805"/>
      <c r="U49" s="1805"/>
      <c r="V49" s="1805"/>
      <c r="W49" s="1805"/>
      <c r="X49" s="1805"/>
      <c r="Y49" s="1805"/>
      <c r="Z49" s="1807"/>
    </row>
    <row r="50" spans="1:26" ht="17.100000000000001" customHeight="1">
      <c r="A50" s="298"/>
      <c r="B50" s="299"/>
      <c r="C50" s="299"/>
      <c r="D50" s="299"/>
      <c r="E50" s="299"/>
      <c r="F50" s="299"/>
      <c r="G50" s="299"/>
      <c r="H50" s="299"/>
      <c r="I50" s="300" t="s">
        <v>1052</v>
      </c>
      <c r="J50" s="1516">
        <f>ROUND(B49*E49/G49*I49,1)</f>
        <v>887.3</v>
      </c>
      <c r="K50" s="1516"/>
      <c r="L50" s="1516"/>
      <c r="M50" s="299"/>
      <c r="N50" s="299"/>
      <c r="O50" s="1805">
        <f>J50</f>
        <v>887.3</v>
      </c>
      <c r="P50" s="1805"/>
      <c r="Q50" s="1805"/>
      <c r="R50" s="1805"/>
      <c r="S50" s="1805"/>
      <c r="T50" s="1805"/>
      <c r="U50" s="1805"/>
      <c r="V50" s="1805"/>
      <c r="W50" s="1805"/>
      <c r="X50" s="1805">
        <f>SUM(O50:W50)</f>
        <v>887.3</v>
      </c>
      <c r="Y50" s="1805"/>
      <c r="Z50" s="1807"/>
    </row>
    <row r="51" spans="1:26" ht="17.100000000000001" customHeight="1">
      <c r="A51" s="298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1805"/>
      <c r="P51" s="1805"/>
      <c r="Q51" s="1805"/>
      <c r="R51" s="1805"/>
      <c r="S51" s="1805"/>
      <c r="T51" s="1805"/>
      <c r="U51" s="1805"/>
      <c r="V51" s="1805"/>
      <c r="W51" s="1805"/>
      <c r="X51" s="1805"/>
      <c r="Y51" s="1805"/>
      <c r="Z51" s="1807"/>
    </row>
    <row r="52" spans="1:26" ht="17.100000000000001" customHeight="1">
      <c r="A52" s="298" t="s">
        <v>1055</v>
      </c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1805"/>
      <c r="P52" s="1805"/>
      <c r="Q52" s="1805"/>
      <c r="R52" s="1805"/>
      <c r="S52" s="1805"/>
      <c r="T52" s="1805"/>
      <c r="U52" s="1805"/>
      <c r="V52" s="1805"/>
      <c r="W52" s="1805"/>
      <c r="X52" s="1805"/>
      <c r="Y52" s="1805"/>
      <c r="Z52" s="1807"/>
    </row>
    <row r="53" spans="1:26" ht="17.100000000000001" customHeight="1">
      <c r="A53" s="301" t="s">
        <v>1056</v>
      </c>
      <c r="B53" s="299" t="s">
        <v>1057</v>
      </c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1805"/>
      <c r="P53" s="1805"/>
      <c r="Q53" s="1805"/>
      <c r="R53" s="1805"/>
      <c r="S53" s="1805"/>
      <c r="T53" s="1805"/>
      <c r="U53" s="1805"/>
      <c r="V53" s="1805"/>
      <c r="W53" s="1805"/>
      <c r="X53" s="1805"/>
      <c r="Y53" s="1805"/>
      <c r="Z53" s="1807"/>
    </row>
    <row r="54" spans="1:26" ht="17.100000000000001" customHeight="1">
      <c r="A54" s="298"/>
      <c r="B54" s="299" t="s">
        <v>1063</v>
      </c>
      <c r="C54" s="299"/>
      <c r="D54" s="299"/>
      <c r="E54" s="299"/>
      <c r="F54" s="299"/>
      <c r="G54" s="299"/>
      <c r="H54" s="302"/>
      <c r="I54" s="300" t="s">
        <v>1052</v>
      </c>
      <c r="J54" s="1517">
        <v>2000</v>
      </c>
      <c r="K54" s="1517"/>
      <c r="L54" s="299" t="s">
        <v>1058</v>
      </c>
      <c r="M54" s="299"/>
      <c r="N54" s="299"/>
      <c r="O54" s="1805"/>
      <c r="P54" s="1805"/>
      <c r="Q54" s="1805"/>
      <c r="R54" s="1805"/>
      <c r="S54" s="1805"/>
      <c r="T54" s="1805"/>
      <c r="U54" s="1805"/>
      <c r="V54" s="1805"/>
      <c r="W54" s="1805"/>
      <c r="X54" s="1805"/>
      <c r="Y54" s="1805"/>
      <c r="Z54" s="1807"/>
    </row>
    <row r="55" spans="1:26" ht="17.100000000000001" customHeight="1">
      <c r="A55" s="298"/>
      <c r="B55" s="299" t="s">
        <v>1059</v>
      </c>
      <c r="C55" s="299"/>
      <c r="D55" s="299"/>
      <c r="E55" s="299"/>
      <c r="F55" s="299"/>
      <c r="G55" s="299"/>
      <c r="H55" s="299"/>
      <c r="I55" s="299"/>
      <c r="J55" s="1513">
        <f>480-30</f>
        <v>450</v>
      </c>
      <c r="K55" s="1513"/>
      <c r="L55" s="299" t="s">
        <v>1060</v>
      </c>
      <c r="M55" s="299"/>
      <c r="N55" s="299"/>
      <c r="O55" s="1805"/>
      <c r="P55" s="1805"/>
      <c r="Q55" s="1805"/>
      <c r="R55" s="1805"/>
      <c r="S55" s="1805"/>
      <c r="T55" s="1805"/>
      <c r="U55" s="1805"/>
      <c r="V55" s="1805"/>
      <c r="W55" s="1805"/>
      <c r="X55" s="1805"/>
      <c r="Y55" s="1805"/>
      <c r="Z55" s="1807"/>
    </row>
    <row r="56" spans="1:26" ht="17.100000000000001" customHeight="1">
      <c r="A56" s="298"/>
      <c r="B56" s="299" t="s">
        <v>1064</v>
      </c>
      <c r="C56" s="299"/>
      <c r="D56" s="299"/>
      <c r="E56" s="299"/>
      <c r="F56" s="299"/>
      <c r="G56" s="299"/>
      <c r="H56" s="299"/>
      <c r="I56" s="300" t="s">
        <v>1052</v>
      </c>
      <c r="J56" s="1513">
        <v>100</v>
      </c>
      <c r="K56" s="1513"/>
      <c r="L56" s="299" t="s">
        <v>1061</v>
      </c>
      <c r="M56" s="299"/>
      <c r="N56" s="299"/>
      <c r="O56" s="1805"/>
      <c r="P56" s="1805"/>
      <c r="Q56" s="1805"/>
      <c r="R56" s="1805"/>
      <c r="S56" s="1805"/>
      <c r="T56" s="1805"/>
      <c r="U56" s="1805"/>
      <c r="V56" s="1805"/>
      <c r="W56" s="1805"/>
      <c r="X56" s="1805"/>
      <c r="Y56" s="1805"/>
      <c r="Z56" s="1807"/>
    </row>
    <row r="57" spans="1:26" ht="17.100000000000001" customHeight="1">
      <c r="A57" s="298"/>
      <c r="B57" s="299" t="s">
        <v>1062</v>
      </c>
      <c r="C57" s="299"/>
      <c r="D57" s="299"/>
      <c r="E57" s="299"/>
      <c r="F57" s="299"/>
      <c r="G57" s="299"/>
      <c r="H57" s="299"/>
      <c r="I57" s="300" t="s">
        <v>1052</v>
      </c>
      <c r="J57" s="1513">
        <v>2</v>
      </c>
      <c r="K57" s="1513"/>
      <c r="L57" s="299" t="s">
        <v>1060</v>
      </c>
      <c r="M57" s="299"/>
      <c r="N57" s="299"/>
      <c r="O57" s="1805"/>
      <c r="P57" s="1805"/>
      <c r="Q57" s="1805"/>
      <c r="R57" s="1805"/>
      <c r="S57" s="1805"/>
      <c r="T57" s="1805"/>
      <c r="U57" s="1805"/>
      <c r="V57" s="1805"/>
      <c r="W57" s="1805"/>
      <c r="X57" s="1805"/>
      <c r="Y57" s="1805"/>
      <c r="Z57" s="1807"/>
    </row>
    <row r="58" spans="1:26" ht="17.100000000000001" customHeight="1">
      <c r="A58" s="298"/>
      <c r="B58" s="299" t="s">
        <v>1067</v>
      </c>
      <c r="C58" s="299"/>
      <c r="D58" s="299"/>
      <c r="E58" s="299"/>
      <c r="F58" s="299"/>
      <c r="G58" s="299"/>
      <c r="H58" s="299"/>
      <c r="I58" s="300" t="s">
        <v>1052</v>
      </c>
      <c r="J58" s="1513">
        <v>30</v>
      </c>
      <c r="K58" s="1513"/>
      <c r="L58" s="299" t="s">
        <v>1070</v>
      </c>
      <c r="M58" s="299"/>
      <c r="N58" s="299"/>
      <c r="O58" s="1805"/>
      <c r="P58" s="1805"/>
      <c r="Q58" s="1805"/>
      <c r="R58" s="1805"/>
      <c r="S58" s="1805"/>
      <c r="T58" s="1805"/>
      <c r="U58" s="1805"/>
      <c r="V58" s="1805"/>
      <c r="W58" s="1805"/>
      <c r="X58" s="1805"/>
      <c r="Y58" s="1805"/>
      <c r="Z58" s="1807"/>
    </row>
    <row r="59" spans="1:26" ht="17.100000000000001" customHeight="1">
      <c r="A59" s="301" t="s">
        <v>1056</v>
      </c>
      <c r="B59" s="299" t="s">
        <v>1065</v>
      </c>
      <c r="C59" s="299"/>
      <c r="D59" s="299"/>
      <c r="E59" s="299"/>
      <c r="F59" s="299"/>
      <c r="G59" s="299"/>
      <c r="H59" s="299"/>
      <c r="I59" s="299"/>
      <c r="J59" s="1518">
        <f>ROUND(J54*J55/(120*J56+J54*J57),3)</f>
        <v>56.25</v>
      </c>
      <c r="K59" s="1518"/>
      <c r="L59" s="299" t="s">
        <v>1066</v>
      </c>
      <c r="M59" s="299"/>
      <c r="N59" s="299"/>
      <c r="O59" s="1805"/>
      <c r="P59" s="1805"/>
      <c r="Q59" s="1805"/>
      <c r="R59" s="1805"/>
      <c r="S59" s="1805"/>
      <c r="T59" s="1805"/>
      <c r="U59" s="1805"/>
      <c r="V59" s="1805"/>
      <c r="W59" s="1805"/>
      <c r="X59" s="1805"/>
      <c r="Y59" s="1805"/>
      <c r="Z59" s="1807"/>
    </row>
    <row r="60" spans="1:26" ht="17.100000000000001" customHeight="1">
      <c r="A60" s="301" t="s">
        <v>1056</v>
      </c>
      <c r="B60" s="299" t="s">
        <v>1069</v>
      </c>
      <c r="C60" s="299"/>
      <c r="D60" s="299"/>
      <c r="E60" s="299"/>
      <c r="F60" s="299"/>
      <c r="G60" s="299"/>
      <c r="H60" s="299"/>
      <c r="I60" s="300" t="s">
        <v>1052</v>
      </c>
      <c r="J60" s="1513">
        <f>J59*J58</f>
        <v>1687.5</v>
      </c>
      <c r="K60" s="1513"/>
      <c r="L60" s="299" t="s">
        <v>1073</v>
      </c>
      <c r="M60" s="299"/>
      <c r="N60" s="299"/>
      <c r="O60" s="1805"/>
      <c r="P60" s="1805"/>
      <c r="Q60" s="1805"/>
      <c r="R60" s="1805"/>
      <c r="S60" s="1805"/>
      <c r="T60" s="1805"/>
      <c r="U60" s="1805"/>
      <c r="V60" s="1805"/>
      <c r="W60" s="1805"/>
      <c r="X60" s="1805"/>
      <c r="Y60" s="1805"/>
      <c r="Z60" s="1807"/>
    </row>
    <row r="61" spans="1:26" ht="17.100000000000001" customHeight="1">
      <c r="A61" s="301" t="s">
        <v>1056</v>
      </c>
      <c r="B61" s="299" t="s">
        <v>1068</v>
      </c>
      <c r="C61" s="299"/>
      <c r="D61" s="300"/>
      <c r="E61" s="299" t="s">
        <v>1072</v>
      </c>
      <c r="F61" s="299"/>
      <c r="G61" s="299"/>
      <c r="H61" s="299"/>
      <c r="I61" s="299" t="s">
        <v>1071</v>
      </c>
      <c r="J61" s="1522">
        <f ca="1">'11.0시중노임'!F6</f>
        <v>68965</v>
      </c>
      <c r="K61" s="1522"/>
      <c r="L61" s="1522"/>
      <c r="M61" s="303"/>
      <c r="N61" s="299"/>
      <c r="O61" s="1805"/>
      <c r="P61" s="1805"/>
      <c r="Q61" s="1805"/>
      <c r="R61" s="1805"/>
      <c r="S61" s="1805"/>
      <c r="T61" s="1805"/>
      <c r="U61" s="1805"/>
      <c r="V61" s="1805"/>
      <c r="W61" s="1805"/>
      <c r="X61" s="1805"/>
      <c r="Y61" s="1805"/>
      <c r="Z61" s="1807"/>
    </row>
    <row r="62" spans="1:26" ht="17.100000000000001" customHeight="1">
      <c r="A62" s="298"/>
      <c r="B62" s="299"/>
      <c r="C62" s="299"/>
      <c r="D62" s="300"/>
      <c r="E62" s="299"/>
      <c r="F62" s="299"/>
      <c r="G62" s="299"/>
      <c r="H62" s="299"/>
      <c r="I62" s="300" t="s">
        <v>1052</v>
      </c>
      <c r="J62" s="1516">
        <f>ROUND(1/J60*B49*1.1*J61,1)</f>
        <v>494.5</v>
      </c>
      <c r="K62" s="1516"/>
      <c r="L62" s="1516"/>
      <c r="M62" s="299"/>
      <c r="N62" s="299"/>
      <c r="O62" s="1805"/>
      <c r="P62" s="1805"/>
      <c r="Q62" s="1805"/>
      <c r="R62" s="1805">
        <f>J62</f>
        <v>494.5</v>
      </c>
      <c r="S62" s="1805"/>
      <c r="T62" s="1805"/>
      <c r="U62" s="1805"/>
      <c r="V62" s="1805"/>
      <c r="W62" s="1805"/>
      <c r="X62" s="1805">
        <f>SUM(O62:W62)</f>
        <v>494.5</v>
      </c>
      <c r="Y62" s="1805"/>
      <c r="Z62" s="1807"/>
    </row>
    <row r="63" spans="1:26" ht="17.100000000000001" customHeight="1">
      <c r="A63" s="298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1805"/>
      <c r="P63" s="1805"/>
      <c r="Q63" s="1805"/>
      <c r="R63" s="1805"/>
      <c r="S63" s="1805"/>
      <c r="T63" s="1805"/>
      <c r="U63" s="1805"/>
      <c r="V63" s="1805"/>
      <c r="W63" s="1805"/>
      <c r="X63" s="1805"/>
      <c r="Y63" s="1805"/>
      <c r="Z63" s="1807"/>
    </row>
    <row r="64" spans="1:26" ht="17.100000000000001" customHeight="1">
      <c r="A64" s="298" t="s">
        <v>1571</v>
      </c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1805"/>
      <c r="P64" s="1805"/>
      <c r="Q64" s="1805"/>
      <c r="R64" s="1805"/>
      <c r="S64" s="1805"/>
      <c r="T64" s="1805"/>
      <c r="U64" s="1805"/>
      <c r="V64" s="1805"/>
      <c r="W64" s="1805"/>
      <c r="X64" s="1805"/>
      <c r="Y64" s="1805"/>
      <c r="Z64" s="1807"/>
    </row>
    <row r="65" spans="1:26" ht="17.100000000000001" customHeight="1">
      <c r="A65" s="301" t="s">
        <v>1056</v>
      </c>
      <c r="B65" s="299" t="s">
        <v>1068</v>
      </c>
      <c r="C65" s="299"/>
      <c r="D65" s="299"/>
      <c r="E65" s="299" t="s">
        <v>1572</v>
      </c>
      <c r="F65" s="299"/>
      <c r="G65" s="299"/>
      <c r="H65" s="299"/>
      <c r="I65" s="1522">
        <f ca="1">'11.0시중노임'!F6</f>
        <v>68965</v>
      </c>
      <c r="J65" s="1522"/>
      <c r="K65" s="1522"/>
      <c r="L65" s="299"/>
      <c r="M65" s="299"/>
      <c r="N65" s="299"/>
      <c r="O65" s="1805"/>
      <c r="P65" s="1805"/>
      <c r="Q65" s="1805"/>
      <c r="R65" s="1805"/>
      <c r="S65" s="1805"/>
      <c r="T65" s="1805"/>
      <c r="U65" s="1805"/>
      <c r="V65" s="1805"/>
      <c r="W65" s="1805"/>
      <c r="X65" s="1805"/>
      <c r="Y65" s="1805"/>
      <c r="Z65" s="1807"/>
    </row>
    <row r="66" spans="1:26" ht="17.100000000000001" customHeight="1">
      <c r="A66" s="298"/>
      <c r="B66" s="299"/>
      <c r="C66" s="299"/>
      <c r="D66" s="299"/>
      <c r="E66" s="299"/>
      <c r="F66" s="299"/>
      <c r="G66" s="299"/>
      <c r="H66" s="299"/>
      <c r="I66" s="300" t="s">
        <v>1052</v>
      </c>
      <c r="J66" s="1521">
        <f>ROUND((5/100)*I65,1)</f>
        <v>3448.3</v>
      </c>
      <c r="K66" s="1521"/>
      <c r="L66" s="1521"/>
      <c r="M66" s="299"/>
      <c r="N66" s="299"/>
      <c r="O66" s="1805"/>
      <c r="P66" s="1805"/>
      <c r="Q66" s="1805"/>
      <c r="R66" s="1806">
        <f>J66</f>
        <v>3448.3</v>
      </c>
      <c r="S66" s="1805"/>
      <c r="T66" s="1805"/>
      <c r="U66" s="1805"/>
      <c r="V66" s="1805"/>
      <c r="W66" s="1805"/>
      <c r="X66" s="1805">
        <f>SUM(O66:W66)</f>
        <v>3448.3</v>
      </c>
      <c r="Y66" s="1805"/>
      <c r="Z66" s="1807"/>
    </row>
    <row r="67" spans="1:26" ht="17.100000000000001" customHeight="1">
      <c r="A67" s="298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1805"/>
      <c r="P67" s="1805"/>
      <c r="Q67" s="1805"/>
      <c r="R67" s="1805"/>
      <c r="S67" s="1805"/>
      <c r="T67" s="1805"/>
      <c r="U67" s="1805"/>
      <c r="V67" s="1805"/>
      <c r="W67" s="1805"/>
      <c r="X67" s="1805"/>
      <c r="Y67" s="1805"/>
      <c r="Z67" s="1807"/>
    </row>
    <row r="68" spans="1:26" ht="17.100000000000001" customHeight="1">
      <c r="A68" s="298" t="s">
        <v>1074</v>
      </c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1805"/>
      <c r="P68" s="1805"/>
      <c r="Q68" s="1805"/>
      <c r="R68" s="1805"/>
      <c r="S68" s="1805"/>
      <c r="T68" s="1805"/>
      <c r="U68" s="1805"/>
      <c r="V68" s="1805"/>
      <c r="W68" s="1805"/>
      <c r="X68" s="1805"/>
      <c r="Y68" s="1805"/>
      <c r="Z68" s="1807"/>
    </row>
    <row r="69" spans="1:26" ht="17.100000000000001" customHeight="1">
      <c r="A69" s="301" t="s">
        <v>1056</v>
      </c>
      <c r="B69" s="299" t="s">
        <v>1068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1805"/>
      <c r="P69" s="1805"/>
      <c r="Q69" s="1805"/>
      <c r="R69" s="1805"/>
      <c r="S69" s="1805"/>
      <c r="T69" s="1805"/>
      <c r="U69" s="1805"/>
      <c r="V69" s="1805"/>
      <c r="W69" s="1805"/>
      <c r="X69" s="1805"/>
      <c r="Y69" s="1805"/>
      <c r="Z69" s="1807"/>
    </row>
    <row r="70" spans="1:26" ht="17.100000000000001" customHeight="1">
      <c r="A70" s="298" t="s">
        <v>1082</v>
      </c>
      <c r="B70" s="299"/>
      <c r="C70" s="299"/>
      <c r="D70" s="299"/>
      <c r="E70" s="299"/>
      <c r="F70" s="299"/>
      <c r="G70" s="299"/>
      <c r="H70" s="299"/>
      <c r="I70" s="300"/>
      <c r="J70" s="299"/>
      <c r="K70" s="299"/>
      <c r="L70" s="299"/>
      <c r="M70" s="1522">
        <f ca="1">'11.0시중노임'!F4</f>
        <v>92218</v>
      </c>
      <c r="N70" s="1523"/>
      <c r="O70" s="1805"/>
      <c r="P70" s="1805"/>
      <c r="Q70" s="1805"/>
      <c r="R70" s="1805"/>
      <c r="S70" s="1805"/>
      <c r="T70" s="1805"/>
      <c r="U70" s="1805"/>
      <c r="V70" s="1805"/>
      <c r="W70" s="1805"/>
      <c r="X70" s="1805"/>
      <c r="Y70" s="1805"/>
      <c r="Z70" s="1807"/>
    </row>
    <row r="71" spans="1:26" ht="17.100000000000001" customHeight="1">
      <c r="A71" s="298"/>
      <c r="B71" s="299"/>
      <c r="C71" s="299"/>
      <c r="D71" s="299"/>
      <c r="E71" s="299"/>
      <c r="F71" s="299"/>
      <c r="G71" s="299"/>
      <c r="H71" s="299"/>
      <c r="I71" s="300" t="s">
        <v>1052</v>
      </c>
      <c r="J71" s="1521">
        <f>ROUND((((0.24+0.19)/2/10)+(7.6/100))/((25+50)/2)*M70,1)</f>
        <v>239.8</v>
      </c>
      <c r="K71" s="1521"/>
      <c r="L71" s="1521"/>
      <c r="M71" s="299"/>
      <c r="N71" s="299"/>
      <c r="O71" s="1805"/>
      <c r="P71" s="1805"/>
      <c r="Q71" s="1805"/>
      <c r="R71" s="1806">
        <f>J71</f>
        <v>239.8</v>
      </c>
      <c r="S71" s="1805"/>
      <c r="T71" s="1805"/>
      <c r="U71" s="1805"/>
      <c r="V71" s="1805"/>
      <c r="W71" s="1805"/>
      <c r="X71" s="1805">
        <f>SUM(O71:W71)</f>
        <v>239.8</v>
      </c>
      <c r="Y71" s="1805"/>
      <c r="Z71" s="1807"/>
    </row>
    <row r="72" spans="1:26" ht="17.100000000000001" customHeight="1">
      <c r="A72" s="298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1805"/>
      <c r="P72" s="1805"/>
      <c r="Q72" s="1805"/>
      <c r="R72" s="1805"/>
      <c r="S72" s="1805"/>
      <c r="T72" s="1805"/>
      <c r="U72" s="1805"/>
      <c r="V72" s="1805"/>
      <c r="W72" s="1805"/>
      <c r="X72" s="1805"/>
      <c r="Y72" s="1805"/>
      <c r="Z72" s="1807"/>
    </row>
    <row r="73" spans="1:26" ht="17.100000000000001" customHeight="1">
      <c r="A73" s="298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1805"/>
      <c r="P73" s="1805"/>
      <c r="Q73" s="1805"/>
      <c r="R73" s="1805"/>
      <c r="S73" s="1805"/>
      <c r="T73" s="1805"/>
      <c r="U73" s="1805"/>
      <c r="V73" s="1805"/>
      <c r="W73" s="1805"/>
      <c r="X73" s="1805"/>
      <c r="Y73" s="1805"/>
      <c r="Z73" s="1807"/>
    </row>
    <row r="74" spans="1:26" ht="17.100000000000001" customHeight="1">
      <c r="A74" s="298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1805"/>
      <c r="P74" s="1805"/>
      <c r="Q74" s="1805"/>
      <c r="R74" s="1805"/>
      <c r="S74" s="1805"/>
      <c r="T74" s="1805"/>
      <c r="U74" s="1805"/>
      <c r="V74" s="1805"/>
      <c r="W74" s="1805"/>
      <c r="X74" s="1805"/>
      <c r="Y74" s="1805"/>
      <c r="Z74" s="1807"/>
    </row>
    <row r="75" spans="1:26" ht="17.100000000000001" customHeight="1">
      <c r="A75" s="298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1805"/>
      <c r="P75" s="1805"/>
      <c r="Q75" s="1805"/>
      <c r="R75" s="1805"/>
      <c r="S75" s="1805"/>
      <c r="T75" s="1805"/>
      <c r="U75" s="1805"/>
      <c r="V75" s="1805"/>
      <c r="W75" s="1805"/>
      <c r="X75" s="1805"/>
      <c r="Y75" s="1805"/>
      <c r="Z75" s="1807"/>
    </row>
    <row r="76" spans="1:26" ht="17.100000000000001" customHeight="1">
      <c r="A76" s="298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1805"/>
      <c r="P76" s="1805"/>
      <c r="Q76" s="1805"/>
      <c r="R76" s="1805"/>
      <c r="S76" s="1805"/>
      <c r="T76" s="1805"/>
      <c r="U76" s="1805"/>
      <c r="V76" s="1805"/>
      <c r="W76" s="1805"/>
      <c r="X76" s="1805"/>
      <c r="Y76" s="1805"/>
      <c r="Z76" s="1807"/>
    </row>
    <row r="77" spans="1:26" ht="17.100000000000001" customHeight="1">
      <c r="A77" s="298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1805"/>
      <c r="P77" s="1805"/>
      <c r="Q77" s="1805"/>
      <c r="R77" s="1805"/>
      <c r="S77" s="1805"/>
      <c r="T77" s="1805"/>
      <c r="U77" s="1805"/>
      <c r="V77" s="1805"/>
      <c r="W77" s="1805"/>
      <c r="X77" s="1805"/>
      <c r="Y77" s="1805"/>
      <c r="Z77" s="1807"/>
    </row>
    <row r="78" spans="1:26" ht="17.100000000000001" customHeight="1">
      <c r="A78" s="298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1805"/>
      <c r="P78" s="1805"/>
      <c r="Q78" s="1805"/>
      <c r="R78" s="1805"/>
      <c r="S78" s="1805"/>
      <c r="T78" s="1805"/>
      <c r="U78" s="1805"/>
      <c r="V78" s="1805"/>
      <c r="W78" s="1805"/>
      <c r="X78" s="1805"/>
      <c r="Y78" s="1805"/>
      <c r="Z78" s="1807"/>
    </row>
    <row r="79" spans="1:26" ht="17.100000000000001" customHeight="1">
      <c r="A79" s="298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1805"/>
      <c r="P79" s="1805"/>
      <c r="Q79" s="1805"/>
      <c r="R79" s="1805"/>
      <c r="S79" s="1805"/>
      <c r="T79" s="1805"/>
      <c r="U79" s="1805"/>
      <c r="V79" s="1805"/>
      <c r="W79" s="1805"/>
      <c r="X79" s="1805"/>
      <c r="Y79" s="1805"/>
      <c r="Z79" s="1807"/>
    </row>
    <row r="80" spans="1:26" ht="17.100000000000001" customHeight="1">
      <c r="A80" s="298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1805"/>
      <c r="P80" s="1805"/>
      <c r="Q80" s="1805"/>
      <c r="R80" s="1805"/>
      <c r="S80" s="1805"/>
      <c r="T80" s="1805"/>
      <c r="U80" s="1805"/>
      <c r="V80" s="1805"/>
      <c r="W80" s="1805"/>
      <c r="X80" s="1805"/>
      <c r="Y80" s="1805"/>
      <c r="Z80" s="1807"/>
    </row>
    <row r="81" spans="1:26" ht="17.100000000000001" customHeight="1">
      <c r="A81" s="298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1805"/>
      <c r="P81" s="1805"/>
      <c r="Q81" s="1805"/>
      <c r="R81" s="1805"/>
      <c r="S81" s="1805"/>
      <c r="T81" s="1805"/>
      <c r="U81" s="1805"/>
      <c r="V81" s="1805"/>
      <c r="W81" s="1805"/>
      <c r="X81" s="1805"/>
      <c r="Y81" s="1805"/>
      <c r="Z81" s="1807"/>
    </row>
    <row r="82" spans="1:26" ht="17.100000000000001" customHeight="1">
      <c r="A82" s="298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1805"/>
      <c r="P82" s="1805"/>
      <c r="Q82" s="1805"/>
      <c r="R82" s="1805"/>
      <c r="S82" s="1805"/>
      <c r="T82" s="1805"/>
      <c r="U82" s="1805"/>
      <c r="V82" s="1805"/>
      <c r="W82" s="1805"/>
      <c r="X82" s="1805"/>
      <c r="Y82" s="1805"/>
      <c r="Z82" s="1807"/>
    </row>
    <row r="83" spans="1:26" ht="17.100000000000001" customHeight="1">
      <c r="A83" s="304"/>
      <c r="B83" s="305" t="s">
        <v>1075</v>
      </c>
      <c r="C83" s="305"/>
      <c r="D83" s="305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1808">
        <f>INT(SUM(O47:Q82))</f>
        <v>887</v>
      </c>
      <c r="P83" s="1808"/>
      <c r="Q83" s="1808"/>
      <c r="R83" s="1808">
        <f>INT(SUM(R47:T82))</f>
        <v>4182</v>
      </c>
      <c r="S83" s="1808"/>
      <c r="T83" s="1808"/>
      <c r="U83" s="1808">
        <f>SUM(U47:W82)</f>
        <v>0</v>
      </c>
      <c r="V83" s="1808"/>
      <c r="W83" s="1808"/>
      <c r="X83" s="1808">
        <f>INT(SUM(X47:Z82))</f>
        <v>5069</v>
      </c>
      <c r="Y83" s="1808"/>
      <c r="Z83" s="1809"/>
    </row>
    <row r="84" spans="1:26" ht="17.100000000000001" customHeight="1">
      <c r="A84" s="1510" t="s">
        <v>1076</v>
      </c>
      <c r="B84" s="1511"/>
      <c r="C84" s="1511"/>
      <c r="D84" s="1511"/>
      <c r="E84" s="1511"/>
      <c r="F84" s="1511"/>
      <c r="G84" s="1511"/>
      <c r="H84" s="1511"/>
      <c r="I84" s="1511"/>
      <c r="J84" s="1511"/>
      <c r="K84" s="1511"/>
      <c r="L84" s="1511"/>
      <c r="M84" s="1511"/>
      <c r="N84" s="1512"/>
      <c r="O84" s="1810" t="s">
        <v>825</v>
      </c>
      <c r="P84" s="1810"/>
      <c r="Q84" s="1810"/>
      <c r="R84" s="1810" t="s">
        <v>826</v>
      </c>
      <c r="S84" s="1810"/>
      <c r="T84" s="1810"/>
      <c r="U84" s="1810" t="s">
        <v>1054</v>
      </c>
      <c r="V84" s="1810"/>
      <c r="W84" s="1810"/>
      <c r="X84" s="1810" t="s">
        <v>989</v>
      </c>
      <c r="Y84" s="1810"/>
      <c r="Z84" s="1811"/>
    </row>
    <row r="85" spans="1:26" ht="17.100000000000001" customHeight="1">
      <c r="A85" s="295" t="s">
        <v>1078</v>
      </c>
      <c r="B85" s="296"/>
      <c r="C85" s="296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1805"/>
      <c r="P85" s="1805"/>
      <c r="Q85" s="1805"/>
      <c r="R85" s="1805"/>
      <c r="S85" s="1805"/>
      <c r="T85" s="1805"/>
      <c r="U85" s="1805"/>
      <c r="V85" s="1805"/>
      <c r="W85" s="1805"/>
      <c r="X85" s="1805"/>
      <c r="Y85" s="1805"/>
      <c r="Z85" s="1807"/>
    </row>
    <row r="86" spans="1:26" ht="17.100000000000001" customHeight="1">
      <c r="A86" s="297"/>
      <c r="B86" s="296"/>
      <c r="C86" s="296"/>
      <c r="D86" s="296"/>
      <c r="E86" s="296"/>
      <c r="F86" s="296"/>
      <c r="G86" s="296"/>
      <c r="H86" s="296"/>
      <c r="I86" s="296"/>
      <c r="J86" s="296"/>
      <c r="K86" s="296"/>
      <c r="L86" s="296"/>
      <c r="M86" s="296"/>
      <c r="N86" s="296"/>
      <c r="O86" s="1805"/>
      <c r="P86" s="1805"/>
      <c r="Q86" s="1805"/>
      <c r="R86" s="1805"/>
      <c r="S86" s="1805"/>
      <c r="T86" s="1805"/>
      <c r="U86" s="1805"/>
      <c r="V86" s="1805"/>
      <c r="W86" s="1805"/>
      <c r="X86" s="1805"/>
      <c r="Y86" s="1805"/>
      <c r="Z86" s="1807"/>
    </row>
    <row r="87" spans="1:26" ht="17.100000000000001" customHeight="1">
      <c r="A87" s="298" t="s">
        <v>1047</v>
      </c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1805"/>
      <c r="P87" s="1805"/>
      <c r="Q87" s="1805"/>
      <c r="R87" s="1805"/>
      <c r="S87" s="1805"/>
      <c r="T87" s="1805"/>
      <c r="U87" s="1805"/>
      <c r="V87" s="1805"/>
      <c r="W87" s="1805"/>
      <c r="X87" s="1805"/>
      <c r="Y87" s="1805"/>
      <c r="Z87" s="1807"/>
    </row>
    <row r="88" spans="1:26" ht="17.100000000000001" customHeight="1">
      <c r="A88" s="569" t="s">
        <v>1579</v>
      </c>
      <c r="B88" s="570"/>
      <c r="C88" s="570"/>
      <c r="D88" s="570"/>
      <c r="E88" s="570"/>
      <c r="F88" s="570"/>
      <c r="G88" s="570"/>
      <c r="H88" s="570"/>
      <c r="I88" s="296"/>
      <c r="J88" s="296"/>
      <c r="K88" s="296"/>
      <c r="L88" s="296"/>
      <c r="M88" s="296"/>
      <c r="N88" s="296"/>
      <c r="O88" s="1805"/>
      <c r="P88" s="1805"/>
      <c r="Q88" s="1805"/>
      <c r="R88" s="1805"/>
      <c r="S88" s="1805"/>
      <c r="T88" s="1805"/>
      <c r="U88" s="1805"/>
      <c r="V88" s="1805"/>
      <c r="W88" s="1805"/>
      <c r="X88" s="1805"/>
      <c r="Y88" s="1805"/>
      <c r="Z88" s="1807"/>
    </row>
    <row r="89" spans="1:26" ht="17.100000000000001" customHeight="1">
      <c r="A89" s="1514">
        <v>11</v>
      </c>
      <c r="B89" s="1515"/>
      <c r="C89" s="570" t="s">
        <v>1049</v>
      </c>
      <c r="D89" s="571" t="s">
        <v>1071</v>
      </c>
      <c r="E89" s="572">
        <v>1.1000000000000001</v>
      </c>
      <c r="F89" s="571" t="s">
        <v>1071</v>
      </c>
      <c r="G89" s="1509">
        <f ca="1">'8.0자재단가'!I21</f>
        <v>220</v>
      </c>
      <c r="H89" s="1509"/>
      <c r="I89" s="300" t="s">
        <v>1052</v>
      </c>
      <c r="J89" s="1521">
        <f>ROUND(A89*E89*G89,1)</f>
        <v>2662</v>
      </c>
      <c r="K89" s="1521"/>
      <c r="L89" s="1521"/>
      <c r="M89" s="299"/>
      <c r="N89" s="299"/>
      <c r="O89" s="1805">
        <f>J89</f>
        <v>2662</v>
      </c>
      <c r="P89" s="1805"/>
      <c r="Q89" s="1805"/>
      <c r="R89" s="1805"/>
      <c r="S89" s="1805"/>
      <c r="T89" s="1805"/>
      <c r="U89" s="1805"/>
      <c r="V89" s="1805"/>
      <c r="W89" s="1805"/>
      <c r="X89" s="1805">
        <f>SUM(O89:W89)</f>
        <v>2662</v>
      </c>
      <c r="Y89" s="1805"/>
      <c r="Z89" s="1807"/>
    </row>
    <row r="90" spans="1:26" ht="17.100000000000001" customHeight="1">
      <c r="A90" s="298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1805"/>
      <c r="P90" s="1805"/>
      <c r="Q90" s="1805"/>
      <c r="R90" s="1805"/>
      <c r="S90" s="1805"/>
      <c r="T90" s="1805"/>
      <c r="U90" s="1805"/>
      <c r="V90" s="1805"/>
      <c r="W90" s="1805"/>
      <c r="X90" s="1805"/>
      <c r="Y90" s="1805"/>
      <c r="Z90" s="1807"/>
    </row>
    <row r="91" spans="1:26" ht="17.100000000000001" customHeight="1">
      <c r="A91" s="298" t="s">
        <v>1055</v>
      </c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1805"/>
      <c r="P91" s="1805"/>
      <c r="Q91" s="1805"/>
      <c r="R91" s="1805"/>
      <c r="S91" s="1805"/>
      <c r="T91" s="1805"/>
      <c r="U91" s="1805"/>
      <c r="V91" s="1805"/>
      <c r="W91" s="1805"/>
      <c r="X91" s="1805"/>
      <c r="Y91" s="1805"/>
      <c r="Z91" s="1807"/>
    </row>
    <row r="92" spans="1:26" ht="17.100000000000001" customHeight="1">
      <c r="A92" s="301" t="s">
        <v>1056</v>
      </c>
      <c r="B92" s="299" t="s">
        <v>1057</v>
      </c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1805"/>
      <c r="P92" s="1805"/>
      <c r="Q92" s="1805"/>
      <c r="R92" s="1805"/>
      <c r="S92" s="1805"/>
      <c r="T92" s="1805"/>
      <c r="U92" s="1805"/>
      <c r="V92" s="1805"/>
      <c r="W92" s="1805"/>
      <c r="X92" s="1805"/>
      <c r="Y92" s="1805"/>
      <c r="Z92" s="1807"/>
    </row>
    <row r="93" spans="1:26" ht="17.100000000000001" customHeight="1">
      <c r="A93" s="298"/>
      <c r="B93" s="299" t="s">
        <v>1063</v>
      </c>
      <c r="C93" s="299"/>
      <c r="D93" s="299"/>
      <c r="E93" s="299"/>
      <c r="F93" s="299"/>
      <c r="G93" s="299"/>
      <c r="H93" s="302"/>
      <c r="I93" s="300" t="s">
        <v>1052</v>
      </c>
      <c r="J93" s="1517">
        <v>2000</v>
      </c>
      <c r="K93" s="1517"/>
      <c r="L93" s="299" t="s">
        <v>1058</v>
      </c>
      <c r="M93" s="299"/>
      <c r="N93" s="299"/>
      <c r="O93" s="1805"/>
      <c r="P93" s="1805"/>
      <c r="Q93" s="1805"/>
      <c r="R93" s="1805"/>
      <c r="S93" s="1805"/>
      <c r="T93" s="1805"/>
      <c r="U93" s="1805"/>
      <c r="V93" s="1805"/>
      <c r="W93" s="1805"/>
      <c r="X93" s="1805"/>
      <c r="Y93" s="1805"/>
      <c r="Z93" s="1807"/>
    </row>
    <row r="94" spans="1:26" ht="17.100000000000001" customHeight="1">
      <c r="A94" s="298"/>
      <c r="B94" s="299" t="s">
        <v>1059</v>
      </c>
      <c r="C94" s="299"/>
      <c r="D94" s="299"/>
      <c r="E94" s="299"/>
      <c r="F94" s="299"/>
      <c r="G94" s="299"/>
      <c r="H94" s="299"/>
      <c r="I94" s="299"/>
      <c r="J94" s="1513">
        <f>480-30</f>
        <v>450</v>
      </c>
      <c r="K94" s="1513"/>
      <c r="L94" s="299" t="s">
        <v>1060</v>
      </c>
      <c r="M94" s="299"/>
      <c r="N94" s="299"/>
      <c r="O94" s="1805"/>
      <c r="P94" s="1805"/>
      <c r="Q94" s="1805"/>
      <c r="R94" s="1805"/>
      <c r="S94" s="1805"/>
      <c r="T94" s="1805"/>
      <c r="U94" s="1805"/>
      <c r="V94" s="1805"/>
      <c r="W94" s="1805"/>
      <c r="X94" s="1805"/>
      <c r="Y94" s="1805"/>
      <c r="Z94" s="1807"/>
    </row>
    <row r="95" spans="1:26" ht="17.100000000000001" customHeight="1">
      <c r="A95" s="298"/>
      <c r="B95" s="299" t="s">
        <v>1064</v>
      </c>
      <c r="C95" s="299"/>
      <c r="D95" s="299"/>
      <c r="E95" s="299"/>
      <c r="F95" s="299"/>
      <c r="G95" s="299"/>
      <c r="H95" s="299"/>
      <c r="I95" s="300" t="s">
        <v>1052</v>
      </c>
      <c r="J95" s="1513">
        <v>100</v>
      </c>
      <c r="K95" s="1513"/>
      <c r="L95" s="299" t="s">
        <v>1061</v>
      </c>
      <c r="M95" s="299"/>
      <c r="N95" s="299"/>
      <c r="O95" s="1805"/>
      <c r="P95" s="1805"/>
      <c r="Q95" s="1805"/>
      <c r="R95" s="1805"/>
      <c r="S95" s="1805"/>
      <c r="T95" s="1805"/>
      <c r="U95" s="1805"/>
      <c r="V95" s="1805"/>
      <c r="W95" s="1805"/>
      <c r="X95" s="1805"/>
      <c r="Y95" s="1805"/>
      <c r="Z95" s="1807"/>
    </row>
    <row r="96" spans="1:26" ht="17.100000000000001" customHeight="1">
      <c r="A96" s="298"/>
      <c r="B96" s="299" t="s">
        <v>1062</v>
      </c>
      <c r="C96" s="299"/>
      <c r="D96" s="299"/>
      <c r="E96" s="299"/>
      <c r="F96" s="299"/>
      <c r="G96" s="299"/>
      <c r="H96" s="299"/>
      <c r="I96" s="300" t="s">
        <v>1052</v>
      </c>
      <c r="J96" s="1513">
        <v>2</v>
      </c>
      <c r="K96" s="1513"/>
      <c r="L96" s="299" t="s">
        <v>1060</v>
      </c>
      <c r="M96" s="299"/>
      <c r="N96" s="299"/>
      <c r="O96" s="1805"/>
      <c r="P96" s="1805"/>
      <c r="Q96" s="1805"/>
      <c r="R96" s="1805"/>
      <c r="S96" s="1805"/>
      <c r="T96" s="1805"/>
      <c r="U96" s="1805"/>
      <c r="V96" s="1805"/>
      <c r="W96" s="1805"/>
      <c r="X96" s="1805"/>
      <c r="Y96" s="1805"/>
      <c r="Z96" s="1807"/>
    </row>
    <row r="97" spans="1:26" ht="17.100000000000001" customHeight="1">
      <c r="A97" s="298"/>
      <c r="B97" s="299" t="s">
        <v>1067</v>
      </c>
      <c r="C97" s="299"/>
      <c r="D97" s="299"/>
      <c r="E97" s="299"/>
      <c r="F97" s="299"/>
      <c r="G97" s="299"/>
      <c r="H97" s="299"/>
      <c r="I97" s="300" t="s">
        <v>1052</v>
      </c>
      <c r="J97" s="1513">
        <v>10</v>
      </c>
      <c r="K97" s="1513"/>
      <c r="L97" s="299" t="s">
        <v>1080</v>
      </c>
      <c r="M97" s="299"/>
      <c r="N97" s="299"/>
      <c r="O97" s="1805"/>
      <c r="P97" s="1805"/>
      <c r="Q97" s="1805"/>
      <c r="R97" s="1805"/>
      <c r="S97" s="1805"/>
      <c r="T97" s="1805"/>
      <c r="U97" s="1805"/>
      <c r="V97" s="1805"/>
      <c r="W97" s="1805"/>
      <c r="X97" s="1805"/>
      <c r="Y97" s="1805"/>
      <c r="Z97" s="1807"/>
    </row>
    <row r="98" spans="1:26" ht="17.100000000000001" customHeight="1">
      <c r="A98" s="301" t="s">
        <v>1056</v>
      </c>
      <c r="B98" s="299" t="s">
        <v>1065</v>
      </c>
      <c r="C98" s="299"/>
      <c r="D98" s="299"/>
      <c r="E98" s="299"/>
      <c r="F98" s="299"/>
      <c r="G98" s="299"/>
      <c r="H98" s="299"/>
      <c r="I98" s="299"/>
      <c r="J98" s="1518">
        <f>ROUND(J93*J94/(120*J95+J93*J96),3)</f>
        <v>56.25</v>
      </c>
      <c r="K98" s="1518"/>
      <c r="L98" s="299" t="s">
        <v>1066</v>
      </c>
      <c r="M98" s="299"/>
      <c r="N98" s="299"/>
      <c r="O98" s="1805"/>
      <c r="P98" s="1805"/>
      <c r="Q98" s="1805"/>
      <c r="R98" s="1805"/>
      <c r="S98" s="1805"/>
      <c r="T98" s="1805"/>
      <c r="U98" s="1805"/>
      <c r="V98" s="1805"/>
      <c r="W98" s="1805"/>
      <c r="X98" s="1805"/>
      <c r="Y98" s="1805"/>
      <c r="Z98" s="1807"/>
    </row>
    <row r="99" spans="1:26" ht="17.100000000000001" customHeight="1">
      <c r="A99" s="301" t="s">
        <v>1056</v>
      </c>
      <c r="B99" s="299" t="s">
        <v>1069</v>
      </c>
      <c r="C99" s="299"/>
      <c r="D99" s="299"/>
      <c r="E99" s="299"/>
      <c r="F99" s="299"/>
      <c r="G99" s="299"/>
      <c r="H99" s="299"/>
      <c r="I99" s="300" t="s">
        <v>1052</v>
      </c>
      <c r="J99" s="1513">
        <f>J98*J97</f>
        <v>562.5</v>
      </c>
      <c r="K99" s="1513"/>
      <c r="L99" s="299" t="s">
        <v>1073</v>
      </c>
      <c r="M99" s="299"/>
      <c r="N99" s="299"/>
      <c r="O99" s="1805"/>
      <c r="P99" s="1805"/>
      <c r="Q99" s="1805"/>
      <c r="R99" s="1805"/>
      <c r="S99" s="1805"/>
      <c r="T99" s="1805"/>
      <c r="U99" s="1805"/>
      <c r="V99" s="1805"/>
      <c r="W99" s="1805"/>
      <c r="X99" s="1805"/>
      <c r="Y99" s="1805"/>
      <c r="Z99" s="1807"/>
    </row>
    <row r="100" spans="1:26" ht="17.100000000000001" customHeight="1">
      <c r="A100" s="301" t="s">
        <v>1056</v>
      </c>
      <c r="B100" s="299" t="s">
        <v>1068</v>
      </c>
      <c r="C100" s="299"/>
      <c r="D100" s="300"/>
      <c r="E100" s="299" t="s">
        <v>1072</v>
      </c>
      <c r="F100" s="299"/>
      <c r="G100" s="299"/>
      <c r="H100" s="299"/>
      <c r="I100" s="299" t="s">
        <v>1071</v>
      </c>
      <c r="J100" s="1522">
        <f ca="1">'11.0시중노임'!F6</f>
        <v>68965</v>
      </c>
      <c r="K100" s="1522"/>
      <c r="L100" s="1522"/>
      <c r="M100" s="303"/>
      <c r="N100" s="299"/>
      <c r="O100" s="1805"/>
      <c r="P100" s="1805"/>
      <c r="Q100" s="1805"/>
      <c r="R100" s="1805"/>
      <c r="S100" s="1805"/>
      <c r="T100" s="1805"/>
      <c r="U100" s="1805"/>
      <c r="V100" s="1805"/>
      <c r="W100" s="1805"/>
      <c r="X100" s="1805"/>
      <c r="Y100" s="1805"/>
      <c r="Z100" s="1807"/>
    </row>
    <row r="101" spans="1:26" ht="17.100000000000001" customHeight="1">
      <c r="A101" s="298"/>
      <c r="B101" s="299"/>
      <c r="C101" s="299"/>
      <c r="D101" s="300"/>
      <c r="E101" s="299"/>
      <c r="F101" s="299"/>
      <c r="G101" s="299"/>
      <c r="H101" s="299"/>
      <c r="I101" s="300" t="s">
        <v>1052</v>
      </c>
      <c r="J101" s="1516">
        <f>ROUND(1/J99*A89*1.1*J100,1)</f>
        <v>1483.5</v>
      </c>
      <c r="K101" s="1516"/>
      <c r="L101" s="1516"/>
      <c r="M101" s="299"/>
      <c r="N101" s="299"/>
      <c r="O101" s="1805"/>
      <c r="P101" s="1805"/>
      <c r="Q101" s="1805"/>
      <c r="R101" s="1805">
        <f>J101</f>
        <v>1483.5</v>
      </c>
      <c r="S101" s="1805"/>
      <c r="T101" s="1805"/>
      <c r="U101" s="1805"/>
      <c r="V101" s="1805"/>
      <c r="W101" s="1805"/>
      <c r="X101" s="1805">
        <f>SUM(O101:W101)</f>
        <v>1483.5</v>
      </c>
      <c r="Y101" s="1805"/>
      <c r="Z101" s="1807"/>
    </row>
    <row r="102" spans="1:26" ht="17.100000000000001" customHeight="1">
      <c r="A102" s="298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1805"/>
      <c r="P102" s="1805"/>
      <c r="Q102" s="1805"/>
      <c r="R102" s="1805"/>
      <c r="S102" s="1805"/>
      <c r="T102" s="1805"/>
      <c r="U102" s="1805"/>
      <c r="V102" s="1805"/>
      <c r="W102" s="1805"/>
      <c r="X102" s="1805"/>
      <c r="Y102" s="1805"/>
      <c r="Z102" s="1807"/>
    </row>
    <row r="103" spans="1:26" ht="17.100000000000001" customHeight="1">
      <c r="A103" s="298" t="s">
        <v>1576</v>
      </c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1805"/>
      <c r="P103" s="1805"/>
      <c r="Q103" s="1805"/>
      <c r="R103" s="1805"/>
      <c r="S103" s="1805"/>
      <c r="T103" s="1805"/>
      <c r="U103" s="1805"/>
      <c r="V103" s="1805"/>
      <c r="W103" s="1805"/>
      <c r="X103" s="1805"/>
      <c r="Y103" s="1805"/>
      <c r="Z103" s="1807"/>
    </row>
    <row r="104" spans="1:26" ht="17.100000000000001" customHeight="1">
      <c r="A104" s="301" t="s">
        <v>1056</v>
      </c>
      <c r="B104" s="299" t="s">
        <v>1068</v>
      </c>
      <c r="C104" s="299"/>
      <c r="D104" s="299"/>
      <c r="E104" s="299" t="s">
        <v>1575</v>
      </c>
      <c r="F104" s="299"/>
      <c r="G104" s="299"/>
      <c r="H104" s="299"/>
      <c r="I104" s="1522">
        <f ca="1">'11.0시중노임'!F6</f>
        <v>68965</v>
      </c>
      <c r="J104" s="1522"/>
      <c r="K104" s="1522"/>
      <c r="L104" s="299"/>
      <c r="M104" s="299"/>
      <c r="N104" s="299"/>
      <c r="O104" s="1805"/>
      <c r="P104" s="1805"/>
      <c r="Q104" s="1805"/>
      <c r="R104" s="1805"/>
      <c r="S104" s="1805"/>
      <c r="T104" s="1805"/>
      <c r="U104" s="1805"/>
      <c r="V104" s="1805"/>
      <c r="W104" s="1805"/>
      <c r="X104" s="1805"/>
      <c r="Y104" s="1805"/>
      <c r="Z104" s="1807"/>
    </row>
    <row r="105" spans="1:26" ht="17.100000000000001" customHeight="1">
      <c r="A105" s="298"/>
      <c r="B105" s="299"/>
      <c r="C105" s="299"/>
      <c r="D105" s="299"/>
      <c r="E105" s="299"/>
      <c r="F105" s="299"/>
      <c r="G105" s="299"/>
      <c r="H105" s="299"/>
      <c r="I105" s="300" t="s">
        <v>1052</v>
      </c>
      <c r="J105" s="1521">
        <f>ROUND((6/100)*I104,1)</f>
        <v>4137.8999999999996</v>
      </c>
      <c r="K105" s="1521"/>
      <c r="L105" s="1521"/>
      <c r="M105" s="299"/>
      <c r="N105" s="299"/>
      <c r="O105" s="1805"/>
      <c r="P105" s="1805"/>
      <c r="Q105" s="1805"/>
      <c r="R105" s="1806">
        <f>J105</f>
        <v>4137.8999999999996</v>
      </c>
      <c r="S105" s="1805"/>
      <c r="T105" s="1805"/>
      <c r="U105" s="1805"/>
      <c r="V105" s="1805"/>
      <c r="W105" s="1805"/>
      <c r="X105" s="1805">
        <f>SUM(O105:W105)</f>
        <v>4137.8999999999996</v>
      </c>
      <c r="Y105" s="1805"/>
      <c r="Z105" s="1807"/>
    </row>
    <row r="106" spans="1:26" ht="17.100000000000001" customHeight="1">
      <c r="A106" s="298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1805"/>
      <c r="P106" s="1805"/>
      <c r="Q106" s="1805"/>
      <c r="R106" s="1805"/>
      <c r="S106" s="1805"/>
      <c r="T106" s="1805"/>
      <c r="U106" s="1805"/>
      <c r="V106" s="1805"/>
      <c r="W106" s="1805"/>
      <c r="X106" s="1805"/>
      <c r="Y106" s="1805"/>
      <c r="Z106" s="1807"/>
    </row>
    <row r="107" spans="1:26" ht="17.100000000000001" customHeight="1">
      <c r="A107" s="298" t="s">
        <v>1573</v>
      </c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1805"/>
      <c r="P107" s="1805"/>
      <c r="Q107" s="1805"/>
      <c r="R107" s="1805"/>
      <c r="S107" s="1805"/>
      <c r="T107" s="1805"/>
      <c r="U107" s="1805"/>
      <c r="V107" s="1805"/>
      <c r="W107" s="1805"/>
      <c r="X107" s="1805"/>
      <c r="Y107" s="1805"/>
      <c r="Z107" s="1807"/>
    </row>
    <row r="108" spans="1:26" ht="17.100000000000001" customHeight="1">
      <c r="A108" s="301" t="s">
        <v>1056</v>
      </c>
      <c r="B108" s="299" t="s">
        <v>1068</v>
      </c>
      <c r="C108" s="299"/>
      <c r="D108" s="299"/>
      <c r="E108" s="299" t="s">
        <v>1079</v>
      </c>
      <c r="F108" s="299"/>
      <c r="G108" s="299"/>
      <c r="H108" s="299"/>
      <c r="I108" s="299"/>
      <c r="J108" s="1522">
        <f ca="1">'11.0시중노임'!F6</f>
        <v>68965</v>
      </c>
      <c r="K108" s="1522"/>
      <c r="L108" s="1522"/>
      <c r="M108" s="299"/>
      <c r="N108" s="299"/>
      <c r="O108" s="1805"/>
      <c r="P108" s="1805"/>
      <c r="Q108" s="1805"/>
      <c r="R108" s="1805"/>
      <c r="S108" s="1805"/>
      <c r="T108" s="1805"/>
      <c r="U108" s="1805"/>
      <c r="V108" s="1805"/>
      <c r="W108" s="1805"/>
      <c r="X108" s="1805"/>
      <c r="Y108" s="1805"/>
      <c r="Z108" s="1807"/>
    </row>
    <row r="109" spans="1:26" ht="17.100000000000001" customHeight="1">
      <c r="A109" s="298"/>
      <c r="B109" s="299"/>
      <c r="C109" s="299"/>
      <c r="D109" s="299"/>
      <c r="E109" s="299"/>
      <c r="F109" s="299"/>
      <c r="G109" s="299"/>
      <c r="H109" s="299"/>
      <c r="I109" s="300" t="s">
        <v>1052</v>
      </c>
      <c r="J109" s="1521">
        <f>ROUND((22/1000)*J108,1)</f>
        <v>1517.2</v>
      </c>
      <c r="K109" s="1521"/>
      <c r="L109" s="1521"/>
      <c r="M109" s="299"/>
      <c r="N109" s="299"/>
      <c r="O109" s="1805"/>
      <c r="P109" s="1805"/>
      <c r="Q109" s="1805"/>
      <c r="R109" s="1806">
        <f>J109</f>
        <v>1517.2</v>
      </c>
      <c r="S109" s="1805"/>
      <c r="T109" s="1805"/>
      <c r="U109" s="1805"/>
      <c r="V109" s="1805"/>
      <c r="W109" s="1805"/>
      <c r="X109" s="1805">
        <f>SUM(O109:W109)</f>
        <v>1517.2</v>
      </c>
      <c r="Y109" s="1805"/>
      <c r="Z109" s="1807"/>
    </row>
    <row r="110" spans="1:26" ht="17.100000000000001" customHeight="1">
      <c r="A110" s="298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1805"/>
      <c r="P110" s="1805"/>
      <c r="Q110" s="1805"/>
      <c r="R110" s="1805"/>
      <c r="S110" s="1805"/>
      <c r="T110" s="1805"/>
      <c r="U110" s="1805"/>
      <c r="V110" s="1805"/>
      <c r="W110" s="1805"/>
      <c r="X110" s="1805"/>
      <c r="Y110" s="1805"/>
      <c r="Z110" s="1807"/>
    </row>
    <row r="111" spans="1:26" ht="17.100000000000001" customHeight="1">
      <c r="A111" s="298" t="s">
        <v>1574</v>
      </c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1805"/>
      <c r="P111" s="1805"/>
      <c r="Q111" s="1805"/>
      <c r="R111" s="1805"/>
      <c r="S111" s="1805"/>
      <c r="T111" s="1805"/>
      <c r="U111" s="1805"/>
      <c r="V111" s="1805"/>
      <c r="W111" s="1805"/>
      <c r="X111" s="1805"/>
      <c r="Y111" s="1805"/>
      <c r="Z111" s="1807"/>
    </row>
    <row r="112" spans="1:26" ht="17.100000000000001" customHeight="1">
      <c r="A112" s="301" t="s">
        <v>1056</v>
      </c>
      <c r="B112" s="299" t="s">
        <v>1068</v>
      </c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1805"/>
      <c r="P112" s="1805"/>
      <c r="Q112" s="1805"/>
      <c r="R112" s="1805"/>
      <c r="S112" s="1805"/>
      <c r="T112" s="1805"/>
      <c r="U112" s="1805"/>
      <c r="V112" s="1805"/>
      <c r="W112" s="1805"/>
      <c r="X112" s="1805"/>
      <c r="Y112" s="1805"/>
      <c r="Z112" s="1807"/>
    </row>
    <row r="113" spans="1:26" ht="17.100000000000001" customHeight="1">
      <c r="A113" s="299" t="s">
        <v>1082</v>
      </c>
      <c r="B113" s="299"/>
      <c r="C113" s="299"/>
      <c r="D113" s="299"/>
      <c r="E113" s="299"/>
      <c r="F113" s="299"/>
      <c r="G113" s="299"/>
      <c r="H113" s="299"/>
      <c r="I113" s="300"/>
      <c r="J113" s="299"/>
      <c r="K113" s="299"/>
      <c r="L113" s="299"/>
      <c r="M113" s="1522">
        <f ca="1">'11.0시중노임'!F6</f>
        <v>68965</v>
      </c>
      <c r="N113" s="1523"/>
      <c r="O113" s="1805"/>
      <c r="P113" s="1805"/>
      <c r="Q113" s="1805"/>
      <c r="R113" s="1805"/>
      <c r="S113" s="1805"/>
      <c r="T113" s="1805"/>
      <c r="U113" s="1805"/>
      <c r="V113" s="1805"/>
      <c r="W113" s="1805"/>
      <c r="X113" s="1805"/>
      <c r="Y113" s="1805"/>
      <c r="Z113" s="1807"/>
    </row>
    <row r="114" spans="1:26" ht="17.100000000000001" customHeight="1">
      <c r="A114" s="298"/>
      <c r="B114" s="299"/>
      <c r="C114" s="299"/>
      <c r="D114" s="299"/>
      <c r="E114" s="299"/>
      <c r="F114" s="299"/>
      <c r="G114" s="299"/>
      <c r="H114" s="299"/>
      <c r="I114" s="300" t="s">
        <v>1052</v>
      </c>
      <c r="J114" s="1521">
        <f>ROUND((((0.24+0.19)/2/10)+(7.6/100))/((25+50)/2)*M113,1)</f>
        <v>179.3</v>
      </c>
      <c r="K114" s="1521"/>
      <c r="L114" s="1521"/>
      <c r="M114" s="299"/>
      <c r="N114" s="299"/>
      <c r="O114" s="1805"/>
      <c r="P114" s="1805"/>
      <c r="Q114" s="1805"/>
      <c r="R114" s="1806">
        <f>J114</f>
        <v>179.3</v>
      </c>
      <c r="S114" s="1805"/>
      <c r="T114" s="1805"/>
      <c r="U114" s="1805"/>
      <c r="V114" s="1805"/>
      <c r="W114" s="1805"/>
      <c r="X114" s="1805">
        <f>SUM(O114:W114)</f>
        <v>179.3</v>
      </c>
      <c r="Y114" s="1805"/>
      <c r="Z114" s="1807"/>
    </row>
    <row r="115" spans="1:26" ht="17.100000000000001" customHeight="1">
      <c r="A115" s="298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1805"/>
      <c r="P115" s="1805"/>
      <c r="Q115" s="1805"/>
      <c r="R115" s="1805"/>
      <c r="S115" s="1805"/>
      <c r="T115" s="1805"/>
      <c r="U115" s="1805"/>
      <c r="V115" s="1805"/>
      <c r="W115" s="1805"/>
      <c r="X115" s="1805"/>
      <c r="Y115" s="1805"/>
      <c r="Z115" s="1807"/>
    </row>
    <row r="116" spans="1:26" ht="17.100000000000001" customHeight="1">
      <c r="A116" s="298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1805"/>
      <c r="P116" s="1805"/>
      <c r="Q116" s="1805"/>
      <c r="R116" s="1805"/>
      <c r="S116" s="1805"/>
      <c r="T116" s="1805"/>
      <c r="U116" s="1805"/>
      <c r="V116" s="1805"/>
      <c r="W116" s="1805"/>
      <c r="X116" s="1805"/>
      <c r="Y116" s="1805"/>
      <c r="Z116" s="1807"/>
    </row>
    <row r="117" spans="1:26" ht="17.100000000000001" customHeight="1">
      <c r="A117" s="298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1805"/>
      <c r="P117" s="1805"/>
      <c r="Q117" s="1805"/>
      <c r="R117" s="1805"/>
      <c r="S117" s="1805"/>
      <c r="T117" s="1805"/>
      <c r="U117" s="1805"/>
      <c r="V117" s="1805"/>
      <c r="W117" s="1805"/>
      <c r="X117" s="1805"/>
      <c r="Y117" s="1805"/>
      <c r="Z117" s="1807"/>
    </row>
    <row r="118" spans="1:26" ht="17.100000000000001" customHeight="1">
      <c r="A118" s="298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1805"/>
      <c r="P118" s="1805"/>
      <c r="Q118" s="1805"/>
      <c r="R118" s="1805"/>
      <c r="S118" s="1805"/>
      <c r="T118" s="1805"/>
      <c r="U118" s="1805"/>
      <c r="V118" s="1805"/>
      <c r="W118" s="1805"/>
      <c r="X118" s="1805"/>
      <c r="Y118" s="1805"/>
      <c r="Z118" s="1807"/>
    </row>
    <row r="119" spans="1:26" ht="17.100000000000001" customHeight="1">
      <c r="A119" s="298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1805"/>
      <c r="P119" s="1805"/>
      <c r="Q119" s="1805"/>
      <c r="R119" s="1805"/>
      <c r="S119" s="1805"/>
      <c r="T119" s="1805"/>
      <c r="U119" s="1805"/>
      <c r="V119" s="1805"/>
      <c r="W119" s="1805"/>
      <c r="X119" s="1805"/>
      <c r="Y119" s="1805"/>
      <c r="Z119" s="1807"/>
    </row>
    <row r="120" spans="1:26" ht="17.100000000000001" customHeight="1">
      <c r="A120" s="298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1805"/>
      <c r="P120" s="1805"/>
      <c r="Q120" s="1805"/>
      <c r="R120" s="1805"/>
      <c r="S120" s="1805"/>
      <c r="T120" s="1805"/>
      <c r="U120" s="1805"/>
      <c r="V120" s="1805"/>
      <c r="W120" s="1805"/>
      <c r="X120" s="1805"/>
      <c r="Y120" s="1805"/>
      <c r="Z120" s="1807"/>
    </row>
    <row r="121" spans="1:26" ht="17.100000000000001" customHeight="1">
      <c r="A121" s="298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1805"/>
      <c r="P121" s="1805"/>
      <c r="Q121" s="1805"/>
      <c r="R121" s="1805"/>
      <c r="S121" s="1805"/>
      <c r="T121" s="1805"/>
      <c r="U121" s="1805"/>
      <c r="V121" s="1805"/>
      <c r="W121" s="1805"/>
      <c r="X121" s="1805"/>
      <c r="Y121" s="1805"/>
      <c r="Z121" s="1807"/>
    </row>
    <row r="122" spans="1:26" ht="17.100000000000001" customHeight="1">
      <c r="A122" s="298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1805"/>
      <c r="P122" s="1805"/>
      <c r="Q122" s="1805"/>
      <c r="R122" s="1805"/>
      <c r="S122" s="1805"/>
      <c r="T122" s="1805"/>
      <c r="U122" s="1805"/>
      <c r="V122" s="1805"/>
      <c r="W122" s="1805"/>
      <c r="X122" s="1805"/>
      <c r="Y122" s="1805"/>
      <c r="Z122" s="1807"/>
    </row>
    <row r="123" spans="1:26" ht="17.100000000000001" customHeight="1">
      <c r="A123" s="304"/>
      <c r="B123" s="305" t="s">
        <v>1075</v>
      </c>
      <c r="C123" s="305"/>
      <c r="D123" s="305"/>
      <c r="E123" s="305"/>
      <c r="F123" s="305"/>
      <c r="G123" s="305"/>
      <c r="H123" s="305"/>
      <c r="I123" s="305"/>
      <c r="J123" s="305"/>
      <c r="K123" s="305"/>
      <c r="L123" s="305"/>
      <c r="M123" s="305"/>
      <c r="N123" s="305"/>
      <c r="O123" s="1808">
        <f>INT(SUM(O87:Q122))</f>
        <v>2662</v>
      </c>
      <c r="P123" s="1808"/>
      <c r="Q123" s="1808"/>
      <c r="R123" s="1808">
        <f>INT(SUM(R87:T122))</f>
        <v>7317</v>
      </c>
      <c r="S123" s="1808"/>
      <c r="T123" s="1808"/>
      <c r="U123" s="1808">
        <f>SUM(U87:W122)</f>
        <v>0</v>
      </c>
      <c r="V123" s="1808"/>
      <c r="W123" s="1808"/>
      <c r="X123" s="1808">
        <f>INT(SUM(X87:Z122))</f>
        <v>9979</v>
      </c>
      <c r="Y123" s="1808"/>
      <c r="Z123" s="1809"/>
    </row>
  </sheetData>
  <mergeCells count="374">
    <mergeCell ref="C20:H20"/>
    <mergeCell ref="D22:E22"/>
    <mergeCell ref="F22:G22"/>
    <mergeCell ref="I22:J22"/>
    <mergeCell ref="M24:O24"/>
    <mergeCell ref="K23:L23"/>
    <mergeCell ref="M23:O23"/>
    <mergeCell ref="R44:T44"/>
    <mergeCell ref="O44:Q44"/>
    <mergeCell ref="P22:R22"/>
    <mergeCell ref="P23:R23"/>
    <mergeCell ref="K22:L22"/>
    <mergeCell ref="M22:O22"/>
    <mergeCell ref="P24:R24"/>
    <mergeCell ref="A44:N44"/>
    <mergeCell ref="F23:G23"/>
    <mergeCell ref="I23:J23"/>
    <mergeCell ref="F25:G25"/>
    <mergeCell ref="F24:G24"/>
    <mergeCell ref="I24:J24"/>
    <mergeCell ref="K24:L24"/>
    <mergeCell ref="O73:Q73"/>
    <mergeCell ref="R47:T47"/>
    <mergeCell ref="U84:W84"/>
    <mergeCell ref="U71:W71"/>
    <mergeCell ref="U74:W74"/>
    <mergeCell ref="U50:W50"/>
    <mergeCell ref="R67:T67"/>
    <mergeCell ref="U67:W67"/>
    <mergeCell ref="R80:T80"/>
    <mergeCell ref="R81:T81"/>
    <mergeCell ref="O57:Q57"/>
    <mergeCell ref="U65:W65"/>
    <mergeCell ref="O64:Q64"/>
    <mergeCell ref="O71:Q71"/>
    <mergeCell ref="O78:Q78"/>
    <mergeCell ref="O79:Q79"/>
    <mergeCell ref="U68:W68"/>
    <mergeCell ref="R74:T74"/>
    <mergeCell ref="R79:T79"/>
    <mergeCell ref="O76:Q76"/>
    <mergeCell ref="O45:Q45"/>
    <mergeCell ref="I49:J49"/>
    <mergeCell ref="L49:M49"/>
    <mergeCell ref="O46:Q46"/>
    <mergeCell ref="O81:Q81"/>
    <mergeCell ref="U57:W57"/>
    <mergeCell ref="J60:K60"/>
    <mergeCell ref="J66:L66"/>
    <mergeCell ref="O72:Q72"/>
    <mergeCell ref="O70:Q70"/>
    <mergeCell ref="O47:Q47"/>
    <mergeCell ref="O52:Q52"/>
    <mergeCell ref="R63:T63"/>
    <mergeCell ref="O50:Q50"/>
    <mergeCell ref="O51:Q51"/>
    <mergeCell ref="O54:Q54"/>
    <mergeCell ref="O61:Q61"/>
    <mergeCell ref="O49:Q49"/>
    <mergeCell ref="R49:T49"/>
    <mergeCell ref="O63:Q63"/>
    <mergeCell ref="R45:T45"/>
    <mergeCell ref="U61:W61"/>
    <mergeCell ref="U63:W63"/>
    <mergeCell ref="R53:T53"/>
    <mergeCell ref="R51:T51"/>
    <mergeCell ref="R52:T52"/>
    <mergeCell ref="R50:T50"/>
    <mergeCell ref="U51:W51"/>
    <mergeCell ref="U52:W52"/>
    <mergeCell ref="R46:T46"/>
    <mergeCell ref="X59:Z59"/>
    <mergeCell ref="U56:W56"/>
    <mergeCell ref="X47:Z47"/>
    <mergeCell ref="X44:Z44"/>
    <mergeCell ref="U44:W44"/>
    <mergeCell ref="X45:Z45"/>
    <mergeCell ref="U46:W46"/>
    <mergeCell ref="X46:Z46"/>
    <mergeCell ref="U45:W45"/>
    <mergeCell ref="U47:W47"/>
    <mergeCell ref="X96:Z96"/>
    <mergeCell ref="U75:W75"/>
    <mergeCell ref="U87:W87"/>
    <mergeCell ref="U82:W82"/>
    <mergeCell ref="U83:W83"/>
    <mergeCell ref="X81:Z81"/>
    <mergeCell ref="X84:Z84"/>
    <mergeCell ref="X79:Z79"/>
    <mergeCell ref="X80:Z80"/>
    <mergeCell ref="X77:Z77"/>
    <mergeCell ref="U95:W95"/>
    <mergeCell ref="R75:T75"/>
    <mergeCell ref="U78:W78"/>
    <mergeCell ref="U80:W80"/>
    <mergeCell ref="U79:W79"/>
    <mergeCell ref="U91:W91"/>
    <mergeCell ref="U81:W81"/>
    <mergeCell ref="R83:T83"/>
    <mergeCell ref="X76:Z76"/>
    <mergeCell ref="O65:Q65"/>
    <mergeCell ref="O75:Q75"/>
    <mergeCell ref="U72:W72"/>
    <mergeCell ref="U70:W70"/>
    <mergeCell ref="R70:T70"/>
    <mergeCell ref="X72:Z72"/>
    <mergeCell ref="X73:Z73"/>
    <mergeCell ref="R66:T66"/>
    <mergeCell ref="O74:Q74"/>
    <mergeCell ref="X95:Z95"/>
    <mergeCell ref="X63:Z63"/>
    <mergeCell ref="R62:T62"/>
    <mergeCell ref="U62:W62"/>
    <mergeCell ref="X62:Z62"/>
    <mergeCell ref="R95:T95"/>
    <mergeCell ref="R88:T88"/>
    <mergeCell ref="R78:T78"/>
    <mergeCell ref="R76:T76"/>
    <mergeCell ref="X74:Z74"/>
    <mergeCell ref="X49:Z49"/>
    <mergeCell ref="O48:Q48"/>
    <mergeCell ref="R48:T48"/>
    <mergeCell ref="U48:W48"/>
    <mergeCell ref="X48:Z48"/>
    <mergeCell ref="X52:Z52"/>
    <mergeCell ref="X51:Z51"/>
    <mergeCell ref="U49:W49"/>
    <mergeCell ref="R64:T64"/>
    <mergeCell ref="R68:T68"/>
    <mergeCell ref="X75:Z75"/>
    <mergeCell ref="X71:Z71"/>
    <mergeCell ref="X69:Z69"/>
    <mergeCell ref="U53:W53"/>
    <mergeCell ref="R55:T55"/>
    <mergeCell ref="U59:W59"/>
    <mergeCell ref="X60:Z60"/>
    <mergeCell ref="X56:Z56"/>
    <mergeCell ref="U96:W96"/>
    <mergeCell ref="J54:K54"/>
    <mergeCell ref="R57:T57"/>
    <mergeCell ref="I65:K65"/>
    <mergeCell ref="J95:K95"/>
    <mergeCell ref="J59:K59"/>
    <mergeCell ref="O59:Q59"/>
    <mergeCell ref="O62:Q62"/>
    <mergeCell ref="J89:L89"/>
    <mergeCell ref="O89:Q89"/>
    <mergeCell ref="U73:W73"/>
    <mergeCell ref="R71:T71"/>
    <mergeCell ref="R69:T69"/>
    <mergeCell ref="U88:W88"/>
    <mergeCell ref="U86:W86"/>
    <mergeCell ref="U85:W85"/>
    <mergeCell ref="R85:T85"/>
    <mergeCell ref="U77:W77"/>
    <mergeCell ref="U76:W76"/>
    <mergeCell ref="R87:T87"/>
    <mergeCell ref="X78:Z78"/>
    <mergeCell ref="X50:Z50"/>
    <mergeCell ref="R72:T72"/>
    <mergeCell ref="X53:Z53"/>
    <mergeCell ref="R54:T54"/>
    <mergeCell ref="U54:W54"/>
    <mergeCell ref="X54:Z54"/>
    <mergeCell ref="U55:W55"/>
    <mergeCell ref="U69:W69"/>
    <mergeCell ref="U64:W64"/>
    <mergeCell ref="J55:K55"/>
    <mergeCell ref="J56:K56"/>
    <mergeCell ref="J50:L50"/>
    <mergeCell ref="O56:Q56"/>
    <mergeCell ref="O55:Q55"/>
    <mergeCell ref="O88:Q88"/>
    <mergeCell ref="O86:Q86"/>
    <mergeCell ref="O83:Q83"/>
    <mergeCell ref="O60:Q60"/>
    <mergeCell ref="O53:Q53"/>
    <mergeCell ref="J58:K58"/>
    <mergeCell ref="R56:T56"/>
    <mergeCell ref="J57:K57"/>
    <mergeCell ref="X68:Z68"/>
    <mergeCell ref="X67:Z67"/>
    <mergeCell ref="X65:Z65"/>
    <mergeCell ref="X66:Z66"/>
    <mergeCell ref="O67:Q67"/>
    <mergeCell ref="X64:Z64"/>
    <mergeCell ref="R59:T59"/>
    <mergeCell ref="X55:Z55"/>
    <mergeCell ref="X61:Z61"/>
    <mergeCell ref="O58:Q58"/>
    <mergeCell ref="R58:T58"/>
    <mergeCell ref="U58:W58"/>
    <mergeCell ref="X58:Z58"/>
    <mergeCell ref="R60:T60"/>
    <mergeCell ref="U60:W60"/>
    <mergeCell ref="R61:T61"/>
    <mergeCell ref="X57:Z57"/>
    <mergeCell ref="X70:Z70"/>
    <mergeCell ref="J71:L71"/>
    <mergeCell ref="M70:N70"/>
    <mergeCell ref="J61:L61"/>
    <mergeCell ref="J62:L62"/>
    <mergeCell ref="R65:T65"/>
    <mergeCell ref="U66:W66"/>
    <mergeCell ref="O69:Q69"/>
    <mergeCell ref="O68:Q68"/>
    <mergeCell ref="O66:Q66"/>
    <mergeCell ref="R73:T73"/>
    <mergeCell ref="O80:Q80"/>
    <mergeCell ref="O96:Q96"/>
    <mergeCell ref="R96:T96"/>
    <mergeCell ref="O91:Q91"/>
    <mergeCell ref="O77:Q77"/>
    <mergeCell ref="R77:T77"/>
    <mergeCell ref="O90:Q90"/>
    <mergeCell ref="R90:T90"/>
    <mergeCell ref="R89:T89"/>
    <mergeCell ref="O82:Q82"/>
    <mergeCell ref="O85:Q85"/>
    <mergeCell ref="O87:Q87"/>
    <mergeCell ref="R82:T82"/>
    <mergeCell ref="R84:T84"/>
    <mergeCell ref="R97:T97"/>
    <mergeCell ref="R86:T86"/>
    <mergeCell ref="R94:T94"/>
    <mergeCell ref="O97:Q97"/>
    <mergeCell ref="O93:Q93"/>
    <mergeCell ref="O92:Q92"/>
    <mergeCell ref="R91:T91"/>
    <mergeCell ref="O95:Q95"/>
    <mergeCell ref="O94:Q94"/>
    <mergeCell ref="J98:K98"/>
    <mergeCell ref="O98:Q98"/>
    <mergeCell ref="J97:K97"/>
    <mergeCell ref="J96:K96"/>
    <mergeCell ref="X101:Z101"/>
    <mergeCell ref="A84:N84"/>
    <mergeCell ref="O84:Q84"/>
    <mergeCell ref="A89:B89"/>
    <mergeCell ref="G89:H89"/>
    <mergeCell ref="X99:Z99"/>
    <mergeCell ref="R99:T99"/>
    <mergeCell ref="U99:W99"/>
    <mergeCell ref="J93:K93"/>
    <mergeCell ref="J94:K94"/>
    <mergeCell ref="X98:Z98"/>
    <mergeCell ref="R98:T98"/>
    <mergeCell ref="U98:W98"/>
    <mergeCell ref="U94:W94"/>
    <mergeCell ref="X94:Z94"/>
    <mergeCell ref="X93:Z93"/>
    <mergeCell ref="X86:Z86"/>
    <mergeCell ref="X87:Z87"/>
    <mergeCell ref="X88:Z88"/>
    <mergeCell ref="X89:Z89"/>
    <mergeCell ref="U100:W100"/>
    <mergeCell ref="X100:Z100"/>
    <mergeCell ref="U93:W93"/>
    <mergeCell ref="X97:Z97"/>
    <mergeCell ref="U97:W97"/>
    <mergeCell ref="U89:W89"/>
    <mergeCell ref="U90:W90"/>
    <mergeCell ref="U92:W92"/>
    <mergeCell ref="R93:T93"/>
    <mergeCell ref="R92:T92"/>
    <mergeCell ref="X83:Z83"/>
    <mergeCell ref="X82:Z82"/>
    <mergeCell ref="X92:Z92"/>
    <mergeCell ref="X90:Z90"/>
    <mergeCell ref="X91:Z91"/>
    <mergeCell ref="X85:Z85"/>
    <mergeCell ref="J114:L114"/>
    <mergeCell ref="O114:Q114"/>
    <mergeCell ref="R114:T114"/>
    <mergeCell ref="O115:Q115"/>
    <mergeCell ref="R115:T115"/>
    <mergeCell ref="U103:W103"/>
    <mergeCell ref="O104:Q104"/>
    <mergeCell ref="R104:T104"/>
    <mergeCell ref="O103:Q103"/>
    <mergeCell ref="R103:T103"/>
    <mergeCell ref="X114:Z114"/>
    <mergeCell ref="U117:W117"/>
    <mergeCell ref="O121:Q121"/>
    <mergeCell ref="X111:Z111"/>
    <mergeCell ref="U114:W114"/>
    <mergeCell ref="X117:Z117"/>
    <mergeCell ref="X116:Z116"/>
    <mergeCell ref="X115:Z115"/>
    <mergeCell ref="R112:T112"/>
    <mergeCell ref="U112:W112"/>
    <mergeCell ref="X112:Z112"/>
    <mergeCell ref="U111:W111"/>
    <mergeCell ref="X123:Z123"/>
    <mergeCell ref="X119:Z119"/>
    <mergeCell ref="X118:Z118"/>
    <mergeCell ref="X120:Z120"/>
    <mergeCell ref="X121:Z121"/>
    <mergeCell ref="U123:W123"/>
    <mergeCell ref="U115:W115"/>
    <mergeCell ref="U122:W122"/>
    <mergeCell ref="U108:W108"/>
    <mergeCell ref="X105:Z105"/>
    <mergeCell ref="U105:W105"/>
    <mergeCell ref="R101:T101"/>
    <mergeCell ref="U101:W101"/>
    <mergeCell ref="X110:Z110"/>
    <mergeCell ref="X108:Z108"/>
    <mergeCell ref="X107:Z107"/>
    <mergeCell ref="R107:T107"/>
    <mergeCell ref="U106:W106"/>
    <mergeCell ref="X102:Z102"/>
    <mergeCell ref="X104:Z104"/>
    <mergeCell ref="X103:Z103"/>
    <mergeCell ref="X106:Z106"/>
    <mergeCell ref="U107:W107"/>
    <mergeCell ref="R106:T106"/>
    <mergeCell ref="R102:T102"/>
    <mergeCell ref="U102:W102"/>
    <mergeCell ref="U104:W104"/>
    <mergeCell ref="X109:Z109"/>
    <mergeCell ref="O112:Q112"/>
    <mergeCell ref="O113:Q113"/>
    <mergeCell ref="O111:Q111"/>
    <mergeCell ref="U113:W113"/>
    <mergeCell ref="U110:W110"/>
    <mergeCell ref="U109:W109"/>
    <mergeCell ref="X113:Z113"/>
    <mergeCell ref="R113:T113"/>
    <mergeCell ref="R111:T111"/>
    <mergeCell ref="O123:Q123"/>
    <mergeCell ref="R123:T123"/>
    <mergeCell ref="O109:Q109"/>
    <mergeCell ref="R109:T109"/>
    <mergeCell ref="R120:T120"/>
    <mergeCell ref="O110:Q110"/>
    <mergeCell ref="O118:Q118"/>
    <mergeCell ref="R118:T118"/>
    <mergeCell ref="O122:Q122"/>
    <mergeCell ref="R122:T122"/>
    <mergeCell ref="J108:L108"/>
    <mergeCell ref="R108:T108"/>
    <mergeCell ref="X122:Z122"/>
    <mergeCell ref="R116:T116"/>
    <mergeCell ref="U116:W116"/>
    <mergeCell ref="O119:Q119"/>
    <mergeCell ref="R119:T119"/>
    <mergeCell ref="U119:W119"/>
    <mergeCell ref="U118:W118"/>
    <mergeCell ref="R121:T121"/>
    <mergeCell ref="U121:W121"/>
    <mergeCell ref="M113:N113"/>
    <mergeCell ref="O117:Q117"/>
    <mergeCell ref="R117:T117"/>
    <mergeCell ref="O116:Q116"/>
    <mergeCell ref="O120:Q120"/>
    <mergeCell ref="U120:W120"/>
    <mergeCell ref="R110:T110"/>
    <mergeCell ref="J101:L101"/>
    <mergeCell ref="J100:L100"/>
    <mergeCell ref="R105:T105"/>
    <mergeCell ref="O106:Q106"/>
    <mergeCell ref="R100:T100"/>
    <mergeCell ref="O108:Q108"/>
    <mergeCell ref="O107:Q107"/>
    <mergeCell ref="O102:Q102"/>
    <mergeCell ref="O100:Q100"/>
    <mergeCell ref="J99:K99"/>
    <mergeCell ref="I104:K104"/>
    <mergeCell ref="J105:L105"/>
    <mergeCell ref="O105:Q105"/>
    <mergeCell ref="O101:Q101"/>
    <mergeCell ref="J109:L109"/>
    <mergeCell ref="O99:Q99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5" r:id="rId1"/>
  <headerFooter alignWithMargins="0"/>
  <rowBreaks count="1" manualBreakCount="1">
    <brk id="83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>
  <dimension ref="A1:L101"/>
  <sheetViews>
    <sheetView view="pageBreakPreview" topLeftCell="A79" zoomScale="90" zoomScaleNormal="70" workbookViewId="0">
      <selection activeCell="P6" sqref="P6"/>
    </sheetView>
  </sheetViews>
  <sheetFormatPr defaultRowHeight="29.1" customHeight="1"/>
  <cols>
    <col min="1" max="1" width="11.6640625" customWidth="1"/>
    <col min="2" max="2" width="9.5546875" customWidth="1"/>
    <col min="3" max="3" width="4.109375" customWidth="1"/>
    <col min="4" max="4" width="6.5546875" style="335" customWidth="1"/>
    <col min="5" max="6" width="4.88671875" style="335" bestFit="1" customWidth="1"/>
    <col min="7" max="7" width="5.6640625" style="335" bestFit="1" customWidth="1"/>
    <col min="8" max="8" width="6" style="335" customWidth="1"/>
    <col min="9" max="10" width="4.88671875" style="335" bestFit="1" customWidth="1"/>
    <col min="11" max="11" width="4.88671875" style="335" customWidth="1"/>
    <col min="12" max="12" width="8.33203125" style="335" customWidth="1"/>
  </cols>
  <sheetData>
    <row r="1" spans="4:12" ht="13.5">
      <c r="D1" s="338"/>
      <c r="E1"/>
      <c r="F1"/>
      <c r="G1"/>
      <c r="H1"/>
      <c r="I1"/>
      <c r="J1"/>
      <c r="K1"/>
      <c r="L1"/>
    </row>
    <row r="2" spans="4:12" ht="13.5">
      <c r="D2" s="338"/>
      <c r="E2"/>
      <c r="F2"/>
      <c r="G2"/>
      <c r="H2"/>
      <c r="I2"/>
      <c r="J2"/>
      <c r="K2"/>
      <c r="L2"/>
    </row>
    <row r="3" spans="4:12" ht="13.5">
      <c r="D3" s="338"/>
      <c r="E3"/>
      <c r="F3"/>
      <c r="G3"/>
      <c r="H3"/>
      <c r="I3"/>
      <c r="J3"/>
      <c r="K3"/>
      <c r="L3"/>
    </row>
    <row r="4" spans="4:12" ht="13.5">
      <c r="D4" s="338"/>
      <c r="E4"/>
      <c r="F4"/>
      <c r="G4"/>
      <c r="H4"/>
      <c r="I4"/>
      <c r="J4"/>
      <c r="K4"/>
      <c r="L4"/>
    </row>
    <row r="5" spans="4:12" ht="13.5">
      <c r="D5" s="338"/>
      <c r="E5"/>
      <c r="F5"/>
      <c r="G5"/>
      <c r="H5"/>
      <c r="I5"/>
      <c r="J5"/>
      <c r="K5"/>
      <c r="L5"/>
    </row>
    <row r="6" spans="4:12" ht="13.5">
      <c r="D6" s="338"/>
      <c r="E6"/>
      <c r="F6"/>
      <c r="G6"/>
      <c r="H6"/>
      <c r="I6"/>
      <c r="J6"/>
      <c r="K6"/>
      <c r="L6"/>
    </row>
    <row r="7" spans="4:12" ht="13.5">
      <c r="D7" s="338"/>
      <c r="E7"/>
      <c r="F7"/>
      <c r="G7"/>
      <c r="H7"/>
      <c r="I7"/>
      <c r="J7"/>
      <c r="K7"/>
      <c r="L7"/>
    </row>
    <row r="8" spans="4:12" ht="13.5">
      <c r="D8" s="338"/>
      <c r="E8"/>
      <c r="F8"/>
      <c r="G8"/>
      <c r="H8"/>
      <c r="I8"/>
      <c r="J8"/>
      <c r="K8"/>
      <c r="L8"/>
    </row>
    <row r="9" spans="4:12" ht="13.5">
      <c r="D9" s="338"/>
      <c r="E9"/>
      <c r="F9"/>
      <c r="G9"/>
      <c r="H9"/>
      <c r="I9"/>
      <c r="J9"/>
      <c r="K9"/>
      <c r="L9"/>
    </row>
    <row r="10" spans="4:12" ht="13.5">
      <c r="D10" s="338"/>
      <c r="E10"/>
      <c r="F10"/>
      <c r="G10"/>
      <c r="H10"/>
      <c r="I10"/>
      <c r="J10"/>
      <c r="K10"/>
      <c r="L10"/>
    </row>
    <row r="11" spans="4:12" ht="13.5">
      <c r="D11" s="338"/>
      <c r="E11"/>
      <c r="F11"/>
      <c r="G11"/>
      <c r="H11"/>
      <c r="I11"/>
      <c r="J11"/>
      <c r="K11"/>
      <c r="L11"/>
    </row>
    <row r="12" spans="4:12" ht="13.5">
      <c r="D12" s="338"/>
      <c r="E12"/>
      <c r="F12"/>
      <c r="G12"/>
      <c r="H12"/>
      <c r="I12"/>
      <c r="J12"/>
      <c r="K12"/>
      <c r="L12"/>
    </row>
    <row r="13" spans="4:12" ht="13.5">
      <c r="D13" s="338"/>
      <c r="E13"/>
      <c r="F13"/>
      <c r="G13"/>
      <c r="H13"/>
      <c r="I13"/>
      <c r="J13"/>
      <c r="K13"/>
      <c r="L13"/>
    </row>
    <row r="14" spans="4:12" ht="13.5">
      <c r="D14" s="338"/>
      <c r="E14"/>
      <c r="F14"/>
      <c r="G14"/>
      <c r="H14"/>
      <c r="I14"/>
      <c r="J14"/>
      <c r="K14"/>
      <c r="L14"/>
    </row>
    <row r="15" spans="4:12" ht="13.5">
      <c r="D15" s="338"/>
      <c r="E15"/>
      <c r="F15"/>
      <c r="G15"/>
      <c r="H15"/>
      <c r="I15"/>
      <c r="J15"/>
      <c r="K15"/>
      <c r="L15"/>
    </row>
    <row r="16" spans="4:12" ht="13.5">
      <c r="D16" s="338"/>
      <c r="E16"/>
      <c r="F16"/>
      <c r="G16"/>
      <c r="H16"/>
      <c r="I16"/>
      <c r="J16"/>
      <c r="K16"/>
      <c r="L16"/>
    </row>
    <row r="17" spans="3:12" ht="13.5">
      <c r="D17" s="338"/>
      <c r="E17"/>
      <c r="F17"/>
      <c r="G17"/>
      <c r="H17"/>
      <c r="I17"/>
      <c r="J17"/>
      <c r="K17"/>
      <c r="L17"/>
    </row>
    <row r="18" spans="3:12" ht="13.5">
      <c r="D18" s="338"/>
      <c r="E18"/>
      <c r="F18"/>
      <c r="G18"/>
      <c r="H18"/>
      <c r="I18"/>
      <c r="J18"/>
      <c r="K18"/>
      <c r="L18"/>
    </row>
    <row r="19" spans="3:12" s="339" customFormat="1" ht="30" customHeight="1">
      <c r="C19" s="1554"/>
      <c r="D19" s="1554"/>
      <c r="E19" s="1554"/>
      <c r="F19" s="1554"/>
      <c r="G19" s="1554"/>
      <c r="H19" s="1554"/>
    </row>
    <row r="20" spans="3:12" s="339" customFormat="1" ht="30" customHeight="1">
      <c r="D20" s="387"/>
    </row>
    <row r="21" spans="3:12" s="339" customFormat="1" ht="30" customHeight="1">
      <c r="C21" s="1820" t="s">
        <v>276</v>
      </c>
      <c r="D21" s="1821"/>
      <c r="E21" s="1822"/>
      <c r="F21" s="1549" t="s">
        <v>759</v>
      </c>
      <c r="G21" s="1549"/>
      <c r="H21" s="389" t="s">
        <v>279</v>
      </c>
    </row>
    <row r="22" spans="3:12" s="339" customFormat="1" ht="30" customHeight="1">
      <c r="C22" s="1823" t="s">
        <v>277</v>
      </c>
      <c r="D22" s="1824"/>
      <c r="E22" s="1825"/>
      <c r="F22" s="1817">
        <f>L74</f>
        <v>4513</v>
      </c>
      <c r="G22" s="1818"/>
      <c r="H22" s="393"/>
    </row>
    <row r="23" spans="3:12" s="339" customFormat="1" ht="30" customHeight="1">
      <c r="C23" s="1826" t="s">
        <v>278</v>
      </c>
      <c r="D23" s="1827"/>
      <c r="E23" s="1828"/>
      <c r="F23" s="1819">
        <f>L100</f>
        <v>4720</v>
      </c>
      <c r="G23" s="1545"/>
      <c r="H23" s="397"/>
    </row>
    <row r="24" spans="3:12" ht="13.5">
      <c r="D24" s="338"/>
      <c r="E24"/>
      <c r="F24"/>
      <c r="G24"/>
      <c r="H24"/>
      <c r="I24"/>
      <c r="J24"/>
      <c r="K24"/>
      <c r="L24"/>
    </row>
    <row r="25" spans="3:12" ht="13.5">
      <c r="D25" s="338"/>
      <c r="E25"/>
      <c r="F25"/>
      <c r="G25"/>
      <c r="H25"/>
      <c r="I25"/>
      <c r="J25"/>
      <c r="K25"/>
      <c r="L25"/>
    </row>
    <row r="26" spans="3:12" ht="13.5">
      <c r="D26" s="338"/>
      <c r="E26"/>
      <c r="F26"/>
      <c r="G26"/>
      <c r="H26"/>
      <c r="I26"/>
      <c r="J26"/>
      <c r="K26"/>
      <c r="L26"/>
    </row>
    <row r="27" spans="3:12" ht="13.5">
      <c r="D27" s="338"/>
      <c r="E27"/>
      <c r="F27"/>
      <c r="G27"/>
      <c r="H27"/>
      <c r="I27"/>
      <c r="J27"/>
      <c r="K27"/>
      <c r="L27"/>
    </row>
    <row r="28" spans="3:12" ht="13.5">
      <c r="D28" s="338"/>
      <c r="E28"/>
      <c r="F28"/>
      <c r="G28"/>
      <c r="H28"/>
      <c r="I28"/>
      <c r="J28"/>
      <c r="K28"/>
      <c r="L28"/>
    </row>
    <row r="29" spans="3:12" ht="13.5">
      <c r="D29" s="338"/>
      <c r="E29"/>
      <c r="F29"/>
      <c r="G29"/>
      <c r="H29"/>
      <c r="I29"/>
      <c r="J29"/>
      <c r="K29"/>
      <c r="L29"/>
    </row>
    <row r="30" spans="3:12" ht="13.5">
      <c r="D30" s="338"/>
      <c r="E30"/>
      <c r="F30"/>
      <c r="G30"/>
      <c r="H30"/>
      <c r="I30"/>
      <c r="J30"/>
      <c r="K30"/>
      <c r="L30"/>
    </row>
    <row r="31" spans="3:12" ht="13.5">
      <c r="D31" s="338"/>
      <c r="E31"/>
      <c r="F31"/>
      <c r="G31"/>
      <c r="H31"/>
      <c r="I31"/>
      <c r="J31"/>
      <c r="K31"/>
      <c r="L31"/>
    </row>
    <row r="32" spans="3:12" ht="13.5">
      <c r="D32" s="338"/>
      <c r="E32"/>
      <c r="F32"/>
      <c r="G32"/>
      <c r="H32"/>
      <c r="I32"/>
      <c r="J32"/>
      <c r="K32"/>
      <c r="L32"/>
    </row>
    <row r="33" spans="4:12" ht="13.5">
      <c r="D33" s="338"/>
      <c r="E33"/>
      <c r="F33"/>
      <c r="G33"/>
      <c r="H33"/>
      <c r="I33"/>
      <c r="J33"/>
      <c r="K33"/>
      <c r="L33"/>
    </row>
    <row r="34" spans="4:12" ht="13.5">
      <c r="D34" s="338"/>
      <c r="E34"/>
      <c r="F34"/>
      <c r="G34"/>
      <c r="H34"/>
      <c r="I34"/>
      <c r="J34"/>
      <c r="K34"/>
      <c r="L34"/>
    </row>
    <row r="35" spans="4:12" ht="13.5">
      <c r="D35" s="338"/>
      <c r="E35"/>
      <c r="F35"/>
      <c r="G35"/>
      <c r="H35"/>
      <c r="I35"/>
      <c r="J35"/>
      <c r="K35"/>
      <c r="L35"/>
    </row>
    <row r="36" spans="4:12" ht="13.5">
      <c r="D36" s="338"/>
      <c r="E36"/>
      <c r="F36"/>
      <c r="G36"/>
      <c r="H36"/>
      <c r="I36"/>
      <c r="J36"/>
      <c r="K36"/>
      <c r="L36"/>
    </row>
    <row r="37" spans="4:12" ht="13.5">
      <c r="D37" s="338"/>
      <c r="E37"/>
      <c r="F37"/>
      <c r="G37"/>
      <c r="H37"/>
      <c r="I37"/>
      <c r="J37"/>
      <c r="K37"/>
      <c r="L37"/>
    </row>
    <row r="38" spans="4:12" ht="13.5">
      <c r="D38" s="338"/>
      <c r="E38"/>
      <c r="F38"/>
      <c r="G38"/>
      <c r="H38"/>
      <c r="I38"/>
      <c r="J38"/>
      <c r="K38"/>
      <c r="L38"/>
    </row>
    <row r="39" spans="4:12" ht="13.5">
      <c r="D39" s="338"/>
      <c r="E39"/>
      <c r="F39"/>
      <c r="G39"/>
      <c r="H39"/>
      <c r="I39"/>
      <c r="J39"/>
      <c r="K39"/>
      <c r="L39"/>
    </row>
    <row r="40" spans="4:12" ht="13.5">
      <c r="D40" s="338"/>
      <c r="E40"/>
      <c r="F40"/>
      <c r="G40"/>
      <c r="H40"/>
      <c r="I40"/>
      <c r="J40"/>
      <c r="K40"/>
      <c r="L40"/>
    </row>
    <row r="41" spans="4:12" ht="13.5">
      <c r="D41" s="338"/>
      <c r="E41"/>
      <c r="F41"/>
      <c r="G41"/>
      <c r="H41"/>
      <c r="I41"/>
      <c r="J41"/>
      <c r="K41"/>
      <c r="L41"/>
    </row>
    <row r="42" spans="4:12" ht="13.5">
      <c r="D42" s="338"/>
      <c r="E42"/>
      <c r="F42"/>
      <c r="G42"/>
      <c r="H42"/>
      <c r="I42"/>
      <c r="J42"/>
      <c r="K42"/>
      <c r="L42"/>
    </row>
    <row r="43" spans="4:12" ht="13.5">
      <c r="D43" s="338"/>
      <c r="E43"/>
      <c r="F43"/>
      <c r="G43"/>
      <c r="H43"/>
      <c r="I43"/>
      <c r="J43"/>
      <c r="K43"/>
      <c r="L43"/>
    </row>
    <row r="44" spans="4:12" ht="13.5">
      <c r="D44" s="338"/>
      <c r="E44"/>
      <c r="F44"/>
      <c r="G44"/>
      <c r="H44"/>
      <c r="I44"/>
      <c r="J44"/>
      <c r="K44"/>
      <c r="L44"/>
    </row>
    <row r="45" spans="4:12" ht="13.5">
      <c r="D45" s="338"/>
      <c r="E45"/>
      <c r="F45"/>
      <c r="G45"/>
      <c r="H45"/>
      <c r="I45"/>
      <c r="J45"/>
      <c r="K45"/>
      <c r="L45"/>
    </row>
    <row r="46" spans="4:12" ht="13.5">
      <c r="D46" s="338"/>
      <c r="E46"/>
      <c r="F46"/>
      <c r="G46"/>
      <c r="H46"/>
      <c r="I46"/>
      <c r="J46"/>
      <c r="K46"/>
      <c r="L46"/>
    </row>
    <row r="47" spans="4:12" ht="13.5">
      <c r="D47" s="338"/>
      <c r="E47"/>
      <c r="F47"/>
      <c r="G47"/>
      <c r="H47"/>
      <c r="I47"/>
      <c r="J47"/>
      <c r="K47"/>
      <c r="L47"/>
    </row>
    <row r="48" spans="4:12" ht="13.5">
      <c r="D48" s="338"/>
      <c r="E48"/>
      <c r="F48"/>
      <c r="G48"/>
      <c r="H48"/>
      <c r="I48"/>
      <c r="J48"/>
      <c r="K48"/>
      <c r="L48"/>
    </row>
    <row r="49" spans="1:12" ht="13.5">
      <c r="D49" s="338"/>
      <c r="E49"/>
      <c r="F49"/>
      <c r="G49"/>
      <c r="H49"/>
      <c r="I49"/>
      <c r="J49"/>
      <c r="K49"/>
      <c r="L49"/>
    </row>
    <row r="50" spans="1:12" ht="13.5">
      <c r="D50" s="338"/>
      <c r="E50"/>
      <c r="F50"/>
      <c r="G50"/>
      <c r="H50"/>
      <c r="I50"/>
      <c r="J50"/>
      <c r="K50"/>
      <c r="L50"/>
    </row>
    <row r="51" spans="1:12" ht="29.1" customHeight="1">
      <c r="B51" s="1815" t="s">
        <v>1111</v>
      </c>
      <c r="C51" s="1815"/>
      <c r="D51" s="1815"/>
      <c r="E51" s="1815"/>
      <c r="F51" s="1815"/>
      <c r="G51" s="1815"/>
      <c r="H51" s="1815"/>
      <c r="I51" s="1815"/>
      <c r="J51" s="1815"/>
      <c r="K51" s="1815"/>
      <c r="L51" s="310"/>
    </row>
    <row r="52" spans="1:12" ht="29.1" customHeight="1">
      <c r="A52" s="1555" t="s">
        <v>1112</v>
      </c>
      <c r="B52" s="1549" t="s">
        <v>1113</v>
      </c>
      <c r="C52" s="1549" t="s">
        <v>1114</v>
      </c>
      <c r="D52" s="1814" t="s">
        <v>1115</v>
      </c>
      <c r="E52" s="1814" t="s">
        <v>1116</v>
      </c>
      <c r="F52" s="1814"/>
      <c r="G52" s="1814" t="s">
        <v>1117</v>
      </c>
      <c r="H52" s="1814"/>
      <c r="I52" s="1814" t="s">
        <v>1118</v>
      </c>
      <c r="J52" s="1814"/>
      <c r="K52" s="1814" t="s">
        <v>1119</v>
      </c>
      <c r="L52" s="1816"/>
    </row>
    <row r="53" spans="1:12" ht="29.1" customHeight="1">
      <c r="A53" s="1547"/>
      <c r="B53" s="1548"/>
      <c r="C53" s="1548"/>
      <c r="D53" s="1548"/>
      <c r="E53" s="312" t="s">
        <v>1120</v>
      </c>
      <c r="F53" s="312" t="s">
        <v>1121</v>
      </c>
      <c r="G53" s="312" t="s">
        <v>1120</v>
      </c>
      <c r="H53" s="312" t="s">
        <v>1121</v>
      </c>
      <c r="I53" s="312" t="s">
        <v>1120</v>
      </c>
      <c r="J53" s="312" t="s">
        <v>1121</v>
      </c>
      <c r="K53" s="312" t="s">
        <v>1122</v>
      </c>
      <c r="L53" s="406" t="s">
        <v>1121</v>
      </c>
    </row>
    <row r="54" spans="1:12" ht="29.1" customHeight="1">
      <c r="A54" s="313" t="s">
        <v>1123</v>
      </c>
      <c r="B54" s="314"/>
      <c r="C54" s="316"/>
      <c r="D54" s="317"/>
      <c r="E54" s="318"/>
      <c r="F54" s="318"/>
      <c r="G54" s="318"/>
      <c r="H54" s="318"/>
      <c r="I54" s="318"/>
      <c r="J54" s="318"/>
      <c r="K54" s="318"/>
      <c r="L54" s="407"/>
    </row>
    <row r="55" spans="1:12" ht="29.1" customHeight="1">
      <c r="A55" s="319" t="s">
        <v>1124</v>
      </c>
      <c r="B55" s="320" t="s">
        <v>1125</v>
      </c>
      <c r="C55" s="320" t="s">
        <v>1126</v>
      </c>
      <c r="D55" s="321">
        <v>1.2</v>
      </c>
      <c r="E55" s="322">
        <f ca="1">'8.0자재단가'!I28</f>
        <v>300</v>
      </c>
      <c r="F55" s="322">
        <f>INT(D55*E55)</f>
        <v>360</v>
      </c>
      <c r="G55" s="322"/>
      <c r="H55" s="322"/>
      <c r="I55" s="322"/>
      <c r="J55" s="322"/>
      <c r="K55" s="322"/>
      <c r="L55" s="408"/>
    </row>
    <row r="56" spans="1:12" ht="29.1" customHeight="1">
      <c r="A56" s="319" t="s">
        <v>1127</v>
      </c>
      <c r="B56" s="320" t="s">
        <v>1128</v>
      </c>
      <c r="C56" s="320" t="s">
        <v>1129</v>
      </c>
      <c r="D56" s="321">
        <v>0.7</v>
      </c>
      <c r="E56" s="322">
        <f ca="1">'8.0자재단가'!I35</f>
        <v>280</v>
      </c>
      <c r="F56" s="322">
        <f>INT(D56*E56)</f>
        <v>196</v>
      </c>
      <c r="G56" s="322"/>
      <c r="H56" s="322"/>
      <c r="I56" s="322"/>
      <c r="J56" s="322"/>
      <c r="K56" s="322"/>
      <c r="L56" s="408"/>
    </row>
    <row r="57" spans="1:12" ht="29.1" customHeight="1">
      <c r="A57" s="319" t="s">
        <v>1130</v>
      </c>
      <c r="B57" s="320"/>
      <c r="C57" s="320" t="s">
        <v>1131</v>
      </c>
      <c r="D57" s="321">
        <v>0.7</v>
      </c>
      <c r="E57" s="322">
        <f ca="1">'8.0자재단가'!I37</f>
        <v>30</v>
      </c>
      <c r="F57" s="322">
        <f>INT(D57*E57)</f>
        <v>21</v>
      </c>
      <c r="G57" s="322"/>
      <c r="H57" s="322"/>
      <c r="I57" s="322"/>
      <c r="J57" s="322"/>
      <c r="K57" s="322"/>
      <c r="L57" s="408"/>
    </row>
    <row r="58" spans="1:12" ht="29.1" customHeight="1">
      <c r="A58" s="319" t="s">
        <v>1132</v>
      </c>
      <c r="B58" s="320" t="s">
        <v>1133</v>
      </c>
      <c r="C58" s="320" t="s">
        <v>1134</v>
      </c>
      <c r="D58" s="323">
        <v>1E-3</v>
      </c>
      <c r="E58" s="322"/>
      <c r="F58" s="322"/>
      <c r="G58" s="322">
        <f ca="1">'11.0시중노임'!F4</f>
        <v>92218</v>
      </c>
      <c r="H58" s="324">
        <f>D58*G58</f>
        <v>92.218000000000004</v>
      </c>
      <c r="I58" s="322"/>
      <c r="J58" s="322"/>
      <c r="K58" s="322"/>
      <c r="L58" s="408"/>
    </row>
    <row r="59" spans="1:12" ht="29.1" customHeight="1">
      <c r="A59" s="319" t="s">
        <v>1132</v>
      </c>
      <c r="B59" s="320" t="s">
        <v>1135</v>
      </c>
      <c r="C59" s="320" t="s">
        <v>1134</v>
      </c>
      <c r="D59" s="323">
        <v>6.0000000000000001E-3</v>
      </c>
      <c r="E59" s="322"/>
      <c r="F59" s="322"/>
      <c r="G59" s="322">
        <f ca="1">'11.0시중노임'!F5</f>
        <v>84404</v>
      </c>
      <c r="H59" s="324">
        <f>D59*G59</f>
        <v>506.42400000000004</v>
      </c>
      <c r="I59" s="322"/>
      <c r="J59" s="322"/>
      <c r="K59" s="322"/>
      <c r="L59" s="408"/>
    </row>
    <row r="60" spans="1:12" ht="29.1" customHeight="1">
      <c r="A60" s="319" t="s">
        <v>1132</v>
      </c>
      <c r="B60" s="320" t="s">
        <v>1136</v>
      </c>
      <c r="C60" s="320" t="s">
        <v>1134</v>
      </c>
      <c r="D60" s="323">
        <v>1.2E-2</v>
      </c>
      <c r="E60" s="322"/>
      <c r="F60" s="322"/>
      <c r="G60" s="322">
        <f ca="1">'11.0시중노임'!F6</f>
        <v>68965</v>
      </c>
      <c r="H60" s="324">
        <f>D60*G60</f>
        <v>827.58</v>
      </c>
      <c r="I60" s="322"/>
      <c r="J60" s="322"/>
      <c r="K60" s="322"/>
      <c r="L60" s="408"/>
    </row>
    <row r="61" spans="1:12" ht="29.1" customHeight="1">
      <c r="A61" s="319" t="s">
        <v>1137</v>
      </c>
      <c r="B61" s="320"/>
      <c r="C61" s="320"/>
      <c r="D61" s="321"/>
      <c r="E61" s="322"/>
      <c r="F61" s="322">
        <f>INT(SUM(F55:F60))</f>
        <v>577</v>
      </c>
      <c r="G61" s="322"/>
      <c r="H61" s="322">
        <f>INT(SUM(H55:H60))</f>
        <v>1426</v>
      </c>
      <c r="I61" s="322"/>
      <c r="J61" s="322"/>
      <c r="K61" s="322"/>
      <c r="L61" s="408">
        <f>INT(F61+H61+J61)</f>
        <v>2003</v>
      </c>
    </row>
    <row r="62" spans="1:12" ht="29.1" customHeight="1">
      <c r="A62" s="325" t="s">
        <v>1138</v>
      </c>
      <c r="B62" s="326"/>
      <c r="C62" s="316"/>
      <c r="D62" s="317"/>
      <c r="E62" s="318"/>
      <c r="F62" s="318"/>
      <c r="G62" s="318"/>
      <c r="H62" s="318"/>
      <c r="I62" s="318"/>
      <c r="J62" s="318"/>
      <c r="K62" s="318"/>
      <c r="L62" s="408"/>
    </row>
    <row r="63" spans="1:12" ht="29.1" customHeight="1">
      <c r="A63" s="319" t="s">
        <v>1139</v>
      </c>
      <c r="B63" s="320" t="s">
        <v>1140</v>
      </c>
      <c r="C63" s="320" t="s">
        <v>1141</v>
      </c>
      <c r="D63" s="327">
        <v>25</v>
      </c>
      <c r="E63" s="322">
        <f ca="1">'8.0자재단가'!I23</f>
        <v>5</v>
      </c>
      <c r="F63" s="322">
        <f>INT(D63*E63)</f>
        <v>125</v>
      </c>
      <c r="G63" s="322"/>
      <c r="H63" s="322"/>
      <c r="I63" s="322"/>
      <c r="J63" s="322"/>
      <c r="K63" s="322"/>
      <c r="L63" s="408"/>
    </row>
    <row r="64" spans="1:12" ht="29.1" customHeight="1">
      <c r="A64" s="319" t="s">
        <v>1142</v>
      </c>
      <c r="B64" s="320" t="s">
        <v>1143</v>
      </c>
      <c r="C64" s="320" t="s">
        <v>1141</v>
      </c>
      <c r="D64" s="327">
        <v>250</v>
      </c>
      <c r="E64" s="324">
        <f ca="1">'8.0자재단가'!I25</f>
        <v>0.7</v>
      </c>
      <c r="F64" s="322">
        <f>INT(D64*E64)</f>
        <v>175</v>
      </c>
      <c r="G64" s="322"/>
      <c r="H64" s="322"/>
      <c r="I64" s="322"/>
      <c r="J64" s="322"/>
      <c r="K64" s="322"/>
      <c r="L64" s="408"/>
    </row>
    <row r="65" spans="1:12" ht="29.1" customHeight="1">
      <c r="A65" s="319" t="s">
        <v>1144</v>
      </c>
      <c r="B65" s="320" t="s">
        <v>1145</v>
      </c>
      <c r="C65" s="320" t="s">
        <v>1141</v>
      </c>
      <c r="D65" s="327">
        <v>100</v>
      </c>
      <c r="E65" s="322">
        <f ca="1">'8.0자재단가'!I26</f>
        <v>2</v>
      </c>
      <c r="F65" s="322">
        <f>INT(D65*E65)</f>
        <v>200</v>
      </c>
      <c r="G65" s="322"/>
      <c r="H65" s="322"/>
      <c r="I65" s="322"/>
      <c r="J65" s="322"/>
      <c r="K65" s="322"/>
      <c r="L65" s="408"/>
    </row>
    <row r="66" spans="1:12" ht="29.1" customHeight="1">
      <c r="A66" s="319" t="s">
        <v>1146</v>
      </c>
      <c r="B66" s="320" t="s">
        <v>1147</v>
      </c>
      <c r="C66" s="320" t="s">
        <v>1141</v>
      </c>
      <c r="D66" s="327">
        <v>100</v>
      </c>
      <c r="E66" s="328">
        <f ca="1">'8.0자재단가'!I24</f>
        <v>1.05</v>
      </c>
      <c r="F66" s="322">
        <f>INT(D66*E66)</f>
        <v>105</v>
      </c>
      <c r="G66" s="322"/>
      <c r="H66" s="322"/>
      <c r="I66" s="322"/>
      <c r="J66" s="322"/>
      <c r="K66" s="322"/>
      <c r="L66" s="408"/>
    </row>
    <row r="67" spans="1:12" ht="29.1" customHeight="1">
      <c r="A67" s="319" t="s">
        <v>1148</v>
      </c>
      <c r="B67" s="320" t="s">
        <v>1149</v>
      </c>
      <c r="C67" s="320" t="s">
        <v>1141</v>
      </c>
      <c r="D67" s="327">
        <v>2</v>
      </c>
      <c r="E67" s="322">
        <f ca="1">'8.0자재단가'!I27</f>
        <v>14</v>
      </c>
      <c r="F67" s="322">
        <f>INT(D67*E67)</f>
        <v>28</v>
      </c>
      <c r="G67" s="322"/>
      <c r="H67" s="322"/>
      <c r="I67" s="322"/>
      <c r="J67" s="322"/>
      <c r="K67" s="322"/>
      <c r="L67" s="408"/>
    </row>
    <row r="68" spans="1:12" ht="29.1" customHeight="1">
      <c r="A68" s="319" t="s">
        <v>1150</v>
      </c>
      <c r="B68" s="320" t="s">
        <v>1135</v>
      </c>
      <c r="C68" s="320" t="s">
        <v>1134</v>
      </c>
      <c r="D68" s="323">
        <v>2E-3</v>
      </c>
      <c r="E68" s="322"/>
      <c r="F68" s="322"/>
      <c r="G68" s="322">
        <f ca="1">'11.0시중노임'!F5</f>
        <v>84404</v>
      </c>
      <c r="H68" s="324">
        <f>D68*G68</f>
        <v>168.80799999999999</v>
      </c>
      <c r="I68" s="322"/>
      <c r="J68" s="322"/>
      <c r="K68" s="322"/>
      <c r="L68" s="408"/>
    </row>
    <row r="69" spans="1:12" ht="29.1" customHeight="1">
      <c r="A69" s="319" t="s">
        <v>1150</v>
      </c>
      <c r="B69" s="320" t="s">
        <v>1136</v>
      </c>
      <c r="C69" s="320" t="s">
        <v>1134</v>
      </c>
      <c r="D69" s="323">
        <v>1.7999999999999999E-2</v>
      </c>
      <c r="E69" s="322"/>
      <c r="F69" s="322"/>
      <c r="G69" s="322">
        <f ca="1">'11.0시중노임'!F6</f>
        <v>68965</v>
      </c>
      <c r="H69" s="324">
        <f>D69*G69</f>
        <v>1241.3699999999999</v>
      </c>
      <c r="I69" s="322"/>
      <c r="J69" s="322"/>
      <c r="K69" s="322"/>
      <c r="L69" s="408"/>
    </row>
    <row r="70" spans="1:12" ht="29.1" customHeight="1">
      <c r="A70" s="319" t="s">
        <v>1151</v>
      </c>
      <c r="B70" s="320"/>
      <c r="C70" s="320" t="s">
        <v>1152</v>
      </c>
      <c r="D70" s="329">
        <v>6.4000000000000003E-3</v>
      </c>
      <c r="E70" s="322">
        <v>8451</v>
      </c>
      <c r="F70" s="322">
        <f>INT(D70*E70)</f>
        <v>54</v>
      </c>
      <c r="G70" s="322">
        <v>16925</v>
      </c>
      <c r="H70" s="324">
        <f>D70*G70</f>
        <v>108.32000000000001</v>
      </c>
      <c r="I70" s="322">
        <v>8159</v>
      </c>
      <c r="J70" s="324">
        <f>I70*D70</f>
        <v>52.217600000000004</v>
      </c>
      <c r="K70" s="322"/>
      <c r="L70" s="408"/>
    </row>
    <row r="71" spans="1:12" ht="29.1" customHeight="1">
      <c r="A71" s="319" t="s">
        <v>1153</v>
      </c>
      <c r="B71" s="320" t="s">
        <v>1154</v>
      </c>
      <c r="C71" s="320" t="s">
        <v>1152</v>
      </c>
      <c r="D71" s="323">
        <v>8.0000000000000002E-3</v>
      </c>
      <c r="E71" s="322">
        <v>9139</v>
      </c>
      <c r="F71" s="322">
        <f>INT(D71*E71)</f>
        <v>73</v>
      </c>
      <c r="G71" s="322">
        <v>12886</v>
      </c>
      <c r="H71" s="324">
        <f>D71*G71</f>
        <v>103.08800000000001</v>
      </c>
      <c r="I71" s="322">
        <v>9690</v>
      </c>
      <c r="J71" s="324">
        <f>D71*I71</f>
        <v>77.52</v>
      </c>
      <c r="K71" s="322"/>
      <c r="L71" s="408"/>
    </row>
    <row r="72" spans="1:12" ht="29.1" customHeight="1">
      <c r="A72" s="319" t="s">
        <v>1137</v>
      </c>
      <c r="B72" s="320"/>
      <c r="C72" s="320"/>
      <c r="D72" s="321"/>
      <c r="E72" s="322"/>
      <c r="F72" s="322">
        <f>INT(SUM(F63:F71))</f>
        <v>760</v>
      </c>
      <c r="G72" s="322"/>
      <c r="H72" s="322">
        <f>INT(SUM(H68:H71))</f>
        <v>1621</v>
      </c>
      <c r="I72" s="322"/>
      <c r="J72" s="322">
        <f>INT(SUM(J68:J71))</f>
        <v>129</v>
      </c>
      <c r="K72" s="322"/>
      <c r="L72" s="408">
        <f>INT(F72+H72+J72)</f>
        <v>2510</v>
      </c>
    </row>
    <row r="73" spans="1:12" ht="29.1" customHeight="1">
      <c r="A73" s="330"/>
      <c r="B73" s="331" t="s">
        <v>1155</v>
      </c>
      <c r="C73" s="331"/>
      <c r="D73" s="331"/>
      <c r="E73" s="331"/>
      <c r="F73" s="331"/>
      <c r="G73" s="331"/>
      <c r="H73" s="331"/>
      <c r="I73" s="331"/>
      <c r="J73" s="331"/>
      <c r="K73" s="318"/>
      <c r="L73" s="407"/>
    </row>
    <row r="74" spans="1:12" ht="29.1" customHeight="1">
      <c r="A74" s="332" t="s">
        <v>1156</v>
      </c>
      <c r="B74" s="1812" t="s">
        <v>1157</v>
      </c>
      <c r="C74" s="1813"/>
      <c r="D74" s="333"/>
      <c r="E74" s="334"/>
      <c r="F74" s="334">
        <f>INT(F72+F61)</f>
        <v>1337</v>
      </c>
      <c r="G74" s="334"/>
      <c r="H74" s="334">
        <f>INT(H72+H61)</f>
        <v>3047</v>
      </c>
      <c r="I74" s="334"/>
      <c r="J74" s="334">
        <f>INT(J72+J61)</f>
        <v>129</v>
      </c>
      <c r="K74" s="334"/>
      <c r="L74" s="409">
        <f>INT(L72+L61)</f>
        <v>4513</v>
      </c>
    </row>
    <row r="75" spans="1:12" ht="29.1" customHeight="1">
      <c r="K75" s="336"/>
      <c r="L75" s="337" t="s">
        <v>1158</v>
      </c>
    </row>
    <row r="76" spans="1:12" ht="29.1" customHeight="1">
      <c r="K76" s="336"/>
      <c r="L76" s="336"/>
    </row>
    <row r="77" spans="1:12" ht="29.1" customHeight="1">
      <c r="B77" s="1815" t="s">
        <v>1159</v>
      </c>
      <c r="C77" s="1815"/>
      <c r="D77" s="1815"/>
      <c r="E77" s="1815"/>
      <c r="F77" s="1815"/>
      <c r="G77" s="1815"/>
      <c r="H77" s="1815"/>
      <c r="I77" s="1815"/>
      <c r="J77" s="1815"/>
      <c r="K77" s="1815"/>
      <c r="L77" s="310"/>
    </row>
    <row r="78" spans="1:12" ht="29.1" customHeight="1">
      <c r="A78" s="1555" t="s">
        <v>1112</v>
      </c>
      <c r="B78" s="1549" t="s">
        <v>1113</v>
      </c>
      <c r="C78" s="1549" t="s">
        <v>1114</v>
      </c>
      <c r="D78" s="1814" t="s">
        <v>1115</v>
      </c>
      <c r="E78" s="1814" t="s">
        <v>1116</v>
      </c>
      <c r="F78" s="1814"/>
      <c r="G78" s="1814" t="s">
        <v>1117</v>
      </c>
      <c r="H78" s="1814"/>
      <c r="I78" s="1814" t="s">
        <v>1118</v>
      </c>
      <c r="J78" s="1814"/>
      <c r="K78" s="1814" t="s">
        <v>1119</v>
      </c>
      <c r="L78" s="1816"/>
    </row>
    <row r="79" spans="1:12" ht="29.1" customHeight="1">
      <c r="A79" s="1547"/>
      <c r="B79" s="1548"/>
      <c r="C79" s="1548"/>
      <c r="D79" s="1548"/>
      <c r="E79" s="312" t="s">
        <v>1120</v>
      </c>
      <c r="F79" s="312" t="s">
        <v>1121</v>
      </c>
      <c r="G79" s="312" t="s">
        <v>1120</v>
      </c>
      <c r="H79" s="312" t="s">
        <v>1121</v>
      </c>
      <c r="I79" s="312" t="s">
        <v>1120</v>
      </c>
      <c r="J79" s="312" t="s">
        <v>1121</v>
      </c>
      <c r="K79" s="312" t="s">
        <v>1122</v>
      </c>
      <c r="L79" s="406" t="s">
        <v>1121</v>
      </c>
    </row>
    <row r="80" spans="1:12" ht="29.1" customHeight="1">
      <c r="A80" s="313" t="s">
        <v>1123</v>
      </c>
      <c r="B80" s="314"/>
      <c r="C80" s="316"/>
      <c r="D80" s="317"/>
      <c r="E80" s="318"/>
      <c r="F80" s="318"/>
      <c r="G80" s="318"/>
      <c r="H80" s="318"/>
      <c r="I80" s="318"/>
      <c r="J80" s="318"/>
      <c r="K80" s="318"/>
      <c r="L80" s="407"/>
    </row>
    <row r="81" spans="1:12" ht="29.1" customHeight="1">
      <c r="A81" s="319" t="s">
        <v>1160</v>
      </c>
      <c r="B81" s="320" t="s">
        <v>1125</v>
      </c>
      <c r="C81" s="320" t="s">
        <v>1126</v>
      </c>
      <c r="D81" s="321">
        <v>1.2</v>
      </c>
      <c r="E81" s="322">
        <f ca="1">'8.0자재단가'!I28</f>
        <v>300</v>
      </c>
      <c r="F81" s="322">
        <f>INT(D81*E81)</f>
        <v>360</v>
      </c>
      <c r="G81" s="322"/>
      <c r="H81" s="322"/>
      <c r="I81" s="322"/>
      <c r="J81" s="322"/>
      <c r="K81" s="322"/>
      <c r="L81" s="408"/>
    </row>
    <row r="82" spans="1:12" ht="29.1" customHeight="1">
      <c r="A82" s="319" t="s">
        <v>1127</v>
      </c>
      <c r="B82" s="320" t="s">
        <v>1128</v>
      </c>
      <c r="C82" s="320" t="s">
        <v>1129</v>
      </c>
      <c r="D82" s="321">
        <v>0.7</v>
      </c>
      <c r="E82" s="322">
        <f ca="1">'8.0자재단가'!I35</f>
        <v>280</v>
      </c>
      <c r="F82" s="322">
        <f>INT(D82*E82)</f>
        <v>196</v>
      </c>
      <c r="G82" s="322"/>
      <c r="H82" s="322"/>
      <c r="I82" s="322"/>
      <c r="J82" s="322"/>
      <c r="K82" s="322"/>
      <c r="L82" s="408"/>
    </row>
    <row r="83" spans="1:12" ht="29.1" customHeight="1">
      <c r="A83" s="319" t="s">
        <v>1130</v>
      </c>
      <c r="B83" s="320"/>
      <c r="C83" s="320" t="s">
        <v>1131</v>
      </c>
      <c r="D83" s="321">
        <v>0.7</v>
      </c>
      <c r="E83" s="322">
        <f ca="1">'8.0자재단가'!I37</f>
        <v>30</v>
      </c>
      <c r="F83" s="322">
        <f>INT(D83*E83)</f>
        <v>21</v>
      </c>
      <c r="G83" s="322"/>
      <c r="H83" s="322"/>
      <c r="I83" s="322"/>
      <c r="J83" s="322"/>
      <c r="K83" s="322"/>
      <c r="L83" s="408"/>
    </row>
    <row r="84" spans="1:12" ht="29.1" customHeight="1">
      <c r="A84" s="319" t="s">
        <v>1132</v>
      </c>
      <c r="B84" s="320" t="s">
        <v>1133</v>
      </c>
      <c r="C84" s="320" t="s">
        <v>1134</v>
      </c>
      <c r="D84" s="323">
        <v>1E-3</v>
      </c>
      <c r="E84" s="322"/>
      <c r="F84" s="322"/>
      <c r="G84" s="322">
        <f ca="1">'11.0시중노임'!F4</f>
        <v>92218</v>
      </c>
      <c r="H84" s="324">
        <f>D84*G84</f>
        <v>92.218000000000004</v>
      </c>
      <c r="I84" s="322"/>
      <c r="J84" s="322"/>
      <c r="K84" s="322"/>
      <c r="L84" s="408"/>
    </row>
    <row r="85" spans="1:12" ht="29.1" customHeight="1">
      <c r="A85" s="319" t="s">
        <v>1132</v>
      </c>
      <c r="B85" s="320" t="s">
        <v>1135</v>
      </c>
      <c r="C85" s="320" t="s">
        <v>1134</v>
      </c>
      <c r="D85" s="323">
        <v>6.0000000000000001E-3</v>
      </c>
      <c r="E85" s="322"/>
      <c r="F85" s="322"/>
      <c r="G85" s="322">
        <f ca="1">'11.0시중노임'!F5</f>
        <v>84404</v>
      </c>
      <c r="H85" s="324">
        <f>D85*G85</f>
        <v>506.42400000000004</v>
      </c>
      <c r="I85" s="322"/>
      <c r="J85" s="322"/>
      <c r="K85" s="322"/>
      <c r="L85" s="408"/>
    </row>
    <row r="86" spans="1:12" ht="29.1" customHeight="1">
      <c r="A86" s="319" t="s">
        <v>1132</v>
      </c>
      <c r="B86" s="320" t="s">
        <v>1136</v>
      </c>
      <c r="C86" s="320" t="s">
        <v>1134</v>
      </c>
      <c r="D86" s="323">
        <v>1.4999999999999999E-2</v>
      </c>
      <c r="E86" s="322"/>
      <c r="F86" s="322"/>
      <c r="G86" s="322">
        <f ca="1">'11.0시중노임'!F6</f>
        <v>68965</v>
      </c>
      <c r="H86" s="324">
        <f>D86*G86</f>
        <v>1034.4749999999999</v>
      </c>
      <c r="I86" s="322"/>
      <c r="J86" s="322"/>
      <c r="K86" s="322"/>
      <c r="L86" s="408"/>
    </row>
    <row r="87" spans="1:12" ht="29.1" customHeight="1">
      <c r="A87" s="319" t="s">
        <v>1137</v>
      </c>
      <c r="B87" s="320"/>
      <c r="C87" s="320"/>
      <c r="D87" s="321"/>
      <c r="E87" s="322"/>
      <c r="F87" s="322">
        <f>INT(SUM(F81:F86))</f>
        <v>577</v>
      </c>
      <c r="G87" s="322"/>
      <c r="H87" s="322">
        <f>INT(SUM(H81:H86))</f>
        <v>1633</v>
      </c>
      <c r="I87" s="322"/>
      <c r="J87" s="322"/>
      <c r="K87" s="322"/>
      <c r="L87" s="408">
        <f>INT(F87+H87+J87)</f>
        <v>2210</v>
      </c>
    </row>
    <row r="88" spans="1:12" ht="29.1" customHeight="1">
      <c r="A88" s="325" t="s">
        <v>1138</v>
      </c>
      <c r="B88" s="326"/>
      <c r="C88" s="316"/>
      <c r="D88" s="317"/>
      <c r="E88" s="318"/>
      <c r="F88" s="318"/>
      <c r="G88" s="318"/>
      <c r="H88" s="318"/>
      <c r="I88" s="318"/>
      <c r="J88" s="318"/>
      <c r="K88" s="318"/>
      <c r="L88" s="407"/>
    </row>
    <row r="89" spans="1:12" ht="29.1" customHeight="1">
      <c r="A89" s="319" t="s">
        <v>1139</v>
      </c>
      <c r="B89" s="320" t="s">
        <v>1140</v>
      </c>
      <c r="C89" s="320" t="s">
        <v>1141</v>
      </c>
      <c r="D89" s="327">
        <v>25</v>
      </c>
      <c r="E89" s="322">
        <f ca="1">'8.0자재단가'!I23</f>
        <v>5</v>
      </c>
      <c r="F89" s="322">
        <f>INT(D89*E89)</f>
        <v>125</v>
      </c>
      <c r="G89" s="322"/>
      <c r="H89" s="322"/>
      <c r="I89" s="322"/>
      <c r="J89" s="322"/>
      <c r="K89" s="322"/>
      <c r="L89" s="408"/>
    </row>
    <row r="90" spans="1:12" ht="29.1" customHeight="1">
      <c r="A90" s="319" t="s">
        <v>1142</v>
      </c>
      <c r="B90" s="320" t="s">
        <v>1143</v>
      </c>
      <c r="C90" s="320" t="s">
        <v>1141</v>
      </c>
      <c r="D90" s="327">
        <v>250</v>
      </c>
      <c r="E90" s="324">
        <f ca="1">'8.0자재단가'!I25</f>
        <v>0.7</v>
      </c>
      <c r="F90" s="322">
        <f>INT(D90*E90)</f>
        <v>175</v>
      </c>
      <c r="G90" s="322"/>
      <c r="H90" s="322"/>
      <c r="I90" s="322"/>
      <c r="J90" s="322"/>
      <c r="K90" s="322"/>
      <c r="L90" s="408"/>
    </row>
    <row r="91" spans="1:12" ht="29.1" customHeight="1">
      <c r="A91" s="319" t="s">
        <v>1144</v>
      </c>
      <c r="B91" s="320" t="s">
        <v>1145</v>
      </c>
      <c r="C91" s="320" t="s">
        <v>1141</v>
      </c>
      <c r="D91" s="327">
        <v>100</v>
      </c>
      <c r="E91" s="322">
        <f ca="1">'8.0자재단가'!I26</f>
        <v>2</v>
      </c>
      <c r="F91" s="322">
        <f>INT(D91*E91)</f>
        <v>200</v>
      </c>
      <c r="G91" s="322"/>
      <c r="H91" s="322"/>
      <c r="I91" s="322"/>
      <c r="J91" s="322"/>
      <c r="K91" s="322"/>
      <c r="L91" s="408"/>
    </row>
    <row r="92" spans="1:12" ht="29.1" customHeight="1">
      <c r="A92" s="319" t="s">
        <v>1146</v>
      </c>
      <c r="B92" s="320" t="s">
        <v>1147</v>
      </c>
      <c r="C92" s="320" t="s">
        <v>1141</v>
      </c>
      <c r="D92" s="327">
        <v>100</v>
      </c>
      <c r="E92" s="328">
        <f ca="1">'8.0자재단가'!I24</f>
        <v>1.05</v>
      </c>
      <c r="F92" s="322">
        <f>INT(D92*E92)</f>
        <v>105</v>
      </c>
      <c r="G92" s="322"/>
      <c r="H92" s="322"/>
      <c r="I92" s="322"/>
      <c r="J92" s="322"/>
      <c r="K92" s="322"/>
      <c r="L92" s="408"/>
    </row>
    <row r="93" spans="1:12" ht="29.1" customHeight="1">
      <c r="A93" s="319" t="s">
        <v>1148</v>
      </c>
      <c r="B93" s="320" t="s">
        <v>1149</v>
      </c>
      <c r="C93" s="320" t="s">
        <v>1141</v>
      </c>
      <c r="D93" s="327">
        <v>2</v>
      </c>
      <c r="E93" s="322">
        <f ca="1">'8.0자재단가'!I27</f>
        <v>14</v>
      </c>
      <c r="F93" s="322">
        <f>INT(D93*E93)</f>
        <v>28</v>
      </c>
      <c r="G93" s="322"/>
      <c r="H93" s="322"/>
      <c r="I93" s="322"/>
      <c r="J93" s="322"/>
      <c r="K93" s="322"/>
      <c r="L93" s="408"/>
    </row>
    <row r="94" spans="1:12" ht="29.1" customHeight="1">
      <c r="A94" s="319" t="s">
        <v>1150</v>
      </c>
      <c r="B94" s="320" t="s">
        <v>1135</v>
      </c>
      <c r="C94" s="320" t="s">
        <v>1134</v>
      </c>
      <c r="D94" s="323">
        <v>2E-3</v>
      </c>
      <c r="E94" s="322"/>
      <c r="F94" s="322"/>
      <c r="G94" s="322">
        <f ca="1">'11.0시중노임'!F5</f>
        <v>84404</v>
      </c>
      <c r="H94" s="324">
        <f>D94*G94</f>
        <v>168.80799999999999</v>
      </c>
      <c r="I94" s="322"/>
      <c r="J94" s="322"/>
      <c r="K94" s="322"/>
      <c r="L94" s="408"/>
    </row>
    <row r="95" spans="1:12" ht="29.1" customHeight="1">
      <c r="A95" s="319" t="s">
        <v>1150</v>
      </c>
      <c r="B95" s="320" t="s">
        <v>1136</v>
      </c>
      <c r="C95" s="320" t="s">
        <v>1134</v>
      </c>
      <c r="D95" s="323">
        <v>1.7999999999999999E-2</v>
      </c>
      <c r="E95" s="322"/>
      <c r="F95" s="322"/>
      <c r="G95" s="322">
        <f ca="1">'11.0시중노임'!F6</f>
        <v>68965</v>
      </c>
      <c r="H95" s="324">
        <f>D95*G95</f>
        <v>1241.3699999999999</v>
      </c>
      <c r="I95" s="322"/>
      <c r="J95" s="322"/>
      <c r="K95" s="322"/>
      <c r="L95" s="408"/>
    </row>
    <row r="96" spans="1:12" ht="29.1" customHeight="1">
      <c r="A96" s="319" t="s">
        <v>1151</v>
      </c>
      <c r="B96" s="320"/>
      <c r="C96" s="320" t="s">
        <v>1152</v>
      </c>
      <c r="D96" s="329">
        <v>6.4000000000000003E-3</v>
      </c>
      <c r="E96" s="322">
        <v>8451</v>
      </c>
      <c r="F96" s="322">
        <f>INT(D96*E96)</f>
        <v>54</v>
      </c>
      <c r="G96" s="322">
        <v>16925</v>
      </c>
      <c r="H96" s="324">
        <f>D96*G96</f>
        <v>108.32000000000001</v>
      </c>
      <c r="I96" s="322">
        <v>8159</v>
      </c>
      <c r="J96" s="324">
        <f>I96*D96</f>
        <v>52.217600000000004</v>
      </c>
      <c r="K96" s="322"/>
      <c r="L96" s="408"/>
    </row>
    <row r="97" spans="1:12" ht="29.1" customHeight="1">
      <c r="A97" s="319" t="s">
        <v>1153</v>
      </c>
      <c r="B97" s="320" t="s">
        <v>1154</v>
      </c>
      <c r="C97" s="320" t="s">
        <v>1152</v>
      </c>
      <c r="D97" s="323">
        <v>8.0000000000000002E-3</v>
      </c>
      <c r="E97" s="322">
        <v>9139</v>
      </c>
      <c r="F97" s="322">
        <f>INT(D97*E97)</f>
        <v>73</v>
      </c>
      <c r="G97" s="322">
        <v>12886</v>
      </c>
      <c r="H97" s="324">
        <f>D97*G97</f>
        <v>103.08800000000001</v>
      </c>
      <c r="I97" s="322">
        <v>9690</v>
      </c>
      <c r="J97" s="324">
        <f>D97*I97</f>
        <v>77.52</v>
      </c>
      <c r="K97" s="322"/>
      <c r="L97" s="408"/>
    </row>
    <row r="98" spans="1:12" ht="29.1" customHeight="1">
      <c r="A98" s="319" t="s">
        <v>1137</v>
      </c>
      <c r="B98" s="320"/>
      <c r="C98" s="320"/>
      <c r="D98" s="321"/>
      <c r="E98" s="322"/>
      <c r="F98" s="322">
        <f>INT(SUM(F89:F97))</f>
        <v>760</v>
      </c>
      <c r="G98" s="322"/>
      <c r="H98" s="322">
        <f>INT(SUM(H89:H97))</f>
        <v>1621</v>
      </c>
      <c r="I98" s="322"/>
      <c r="J98" s="322">
        <f>INT(SUM(J89:J97))</f>
        <v>129</v>
      </c>
      <c r="K98" s="322"/>
      <c r="L98" s="408">
        <f>INT(F98+H98+J98)</f>
        <v>2510</v>
      </c>
    </row>
    <row r="99" spans="1:12" ht="29.1" customHeight="1">
      <c r="A99" s="330"/>
      <c r="B99" s="331" t="s">
        <v>1155</v>
      </c>
      <c r="C99" s="331"/>
      <c r="D99" s="331"/>
      <c r="E99" s="331"/>
      <c r="F99" s="331"/>
      <c r="G99" s="331"/>
      <c r="H99" s="331"/>
      <c r="I99" s="331"/>
      <c r="J99" s="331"/>
      <c r="K99" s="318"/>
      <c r="L99" s="407"/>
    </row>
    <row r="100" spans="1:12" ht="29.1" customHeight="1">
      <c r="A100" s="332" t="s">
        <v>1156</v>
      </c>
      <c r="B100" s="1812" t="s">
        <v>1157</v>
      </c>
      <c r="C100" s="1813"/>
      <c r="D100" s="333"/>
      <c r="E100" s="334"/>
      <c r="F100" s="334">
        <f>INT(F98+F87)</f>
        <v>1337</v>
      </c>
      <c r="G100" s="334"/>
      <c r="H100" s="334">
        <f>INT(H98+H87)</f>
        <v>3254</v>
      </c>
      <c r="I100" s="334"/>
      <c r="J100" s="334">
        <f>INT(J98+J87)</f>
        <v>129</v>
      </c>
      <c r="K100" s="334"/>
      <c r="L100" s="409">
        <f>INT(L98+L87)</f>
        <v>4720</v>
      </c>
    </row>
    <row r="101" spans="1:12" ht="29.1" customHeight="1">
      <c r="K101" s="336"/>
      <c r="L101" s="337" t="s">
        <v>1158</v>
      </c>
    </row>
  </sheetData>
  <mergeCells count="27">
    <mergeCell ref="C19:H19"/>
    <mergeCell ref="F21:G21"/>
    <mergeCell ref="F22:G22"/>
    <mergeCell ref="F23:G23"/>
    <mergeCell ref="C21:E21"/>
    <mergeCell ref="C22:E22"/>
    <mergeCell ref="C23:E23"/>
    <mergeCell ref="B51:K51"/>
    <mergeCell ref="B74:C74"/>
    <mergeCell ref="K78:L78"/>
    <mergeCell ref="K52:L52"/>
    <mergeCell ref="E52:F52"/>
    <mergeCell ref="D78:D79"/>
    <mergeCell ref="I78:J78"/>
    <mergeCell ref="G52:H52"/>
    <mergeCell ref="I52:J52"/>
    <mergeCell ref="B77:K77"/>
    <mergeCell ref="B100:C100"/>
    <mergeCell ref="E78:F78"/>
    <mergeCell ref="G78:H78"/>
    <mergeCell ref="A52:A53"/>
    <mergeCell ref="B52:B53"/>
    <mergeCell ref="C52:C53"/>
    <mergeCell ref="D52:D53"/>
    <mergeCell ref="A78:A79"/>
    <mergeCell ref="B78:B79"/>
    <mergeCell ref="C78:C79"/>
  </mergeCells>
  <phoneticPr fontId="45" type="noConversion"/>
  <printOptions horizontalCentered="1"/>
  <pageMargins left="0.55118110236220474" right="0.59055118110236227" top="0.47244094488188981" bottom="7.874015748031496E-2" header="0.70866141732283472" footer="0.31496062992125984"/>
  <pageSetup paperSize="9" orientation="portrait" horizontalDpi="4294967295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>
  <dimension ref="A1:M100"/>
  <sheetViews>
    <sheetView topLeftCell="A52" zoomScaleSheetLayoutView="90" workbookViewId="0">
      <selection activeCell="P6" sqref="P6"/>
    </sheetView>
  </sheetViews>
  <sheetFormatPr defaultRowHeight="13.5"/>
  <cols>
    <col min="1" max="1" width="12.21875" customWidth="1"/>
    <col min="2" max="2" width="8.33203125" customWidth="1"/>
    <col min="3" max="3" width="4.109375" customWidth="1"/>
    <col min="4" max="4" width="5.6640625" style="335" bestFit="1" customWidth="1"/>
    <col min="5" max="5" width="6.21875" style="335" customWidth="1"/>
    <col min="6" max="6" width="4.88671875" style="335" customWidth="1"/>
    <col min="7" max="7" width="6.77734375" style="335" bestFit="1" customWidth="1"/>
    <col min="8" max="8" width="6.109375" style="335" bestFit="1" customWidth="1"/>
    <col min="9" max="9" width="5.77734375" style="335" customWidth="1"/>
    <col min="10" max="10" width="4.88671875" style="335" bestFit="1" customWidth="1"/>
    <col min="11" max="11" width="4.44140625" style="335" customWidth="1"/>
    <col min="12" max="12" width="4.88671875" style="335" customWidth="1"/>
    <col min="13" max="13" width="4.44140625" customWidth="1"/>
  </cols>
  <sheetData>
    <row r="1" spans="4:12">
      <c r="D1" s="338"/>
      <c r="E1"/>
      <c r="F1"/>
      <c r="G1"/>
      <c r="H1"/>
      <c r="I1"/>
      <c r="J1"/>
      <c r="K1"/>
      <c r="L1"/>
    </row>
    <row r="2" spans="4:12">
      <c r="D2" s="338"/>
      <c r="E2"/>
      <c r="F2"/>
      <c r="G2"/>
      <c r="H2"/>
      <c r="I2"/>
      <c r="J2"/>
      <c r="K2"/>
      <c r="L2"/>
    </row>
    <row r="3" spans="4:12">
      <c r="D3" s="338"/>
      <c r="E3"/>
      <c r="F3"/>
      <c r="G3"/>
      <c r="H3"/>
      <c r="I3"/>
      <c r="J3"/>
      <c r="K3"/>
      <c r="L3"/>
    </row>
    <row r="4" spans="4:12">
      <c r="D4" s="338"/>
      <c r="E4"/>
      <c r="F4"/>
      <c r="G4"/>
      <c r="H4"/>
      <c r="I4"/>
      <c r="J4"/>
      <c r="K4"/>
      <c r="L4"/>
    </row>
    <row r="5" spans="4:12">
      <c r="D5" s="338"/>
      <c r="E5"/>
      <c r="F5"/>
      <c r="G5"/>
      <c r="H5"/>
      <c r="I5"/>
      <c r="J5"/>
      <c r="K5"/>
      <c r="L5"/>
    </row>
    <row r="6" spans="4:12">
      <c r="D6" s="338"/>
      <c r="E6"/>
      <c r="F6"/>
      <c r="G6"/>
      <c r="H6"/>
      <c r="I6"/>
      <c r="J6"/>
      <c r="K6"/>
      <c r="L6"/>
    </row>
    <row r="7" spans="4:12">
      <c r="D7" s="338"/>
      <c r="E7"/>
      <c r="F7"/>
      <c r="G7"/>
      <c r="H7"/>
      <c r="I7"/>
      <c r="J7"/>
      <c r="K7"/>
      <c r="L7"/>
    </row>
    <row r="8" spans="4:12">
      <c r="D8" s="338"/>
      <c r="E8"/>
      <c r="F8"/>
      <c r="G8"/>
      <c r="H8"/>
      <c r="I8"/>
      <c r="J8"/>
      <c r="K8"/>
      <c r="L8"/>
    </row>
    <row r="9" spans="4:12">
      <c r="D9" s="338"/>
      <c r="E9"/>
      <c r="F9"/>
      <c r="G9"/>
      <c r="H9"/>
      <c r="I9"/>
      <c r="J9"/>
      <c r="K9"/>
      <c r="L9"/>
    </row>
    <row r="10" spans="4:12">
      <c r="D10" s="338"/>
      <c r="E10"/>
      <c r="F10"/>
      <c r="G10"/>
      <c r="H10"/>
      <c r="I10"/>
      <c r="J10"/>
      <c r="K10"/>
      <c r="L10"/>
    </row>
    <row r="11" spans="4:12">
      <c r="D11" s="338"/>
      <c r="E11"/>
      <c r="F11"/>
      <c r="G11"/>
      <c r="H11"/>
      <c r="I11"/>
      <c r="J11"/>
      <c r="K11"/>
      <c r="L11"/>
    </row>
    <row r="12" spans="4:12">
      <c r="D12" s="338"/>
      <c r="E12"/>
      <c r="F12"/>
      <c r="G12"/>
      <c r="H12"/>
      <c r="I12"/>
      <c r="J12"/>
      <c r="K12"/>
      <c r="L12"/>
    </row>
    <row r="13" spans="4:12">
      <c r="D13" s="338"/>
      <c r="E13"/>
      <c r="F13"/>
      <c r="G13"/>
      <c r="H13"/>
      <c r="I13"/>
      <c r="J13"/>
      <c r="K13"/>
      <c r="L13"/>
    </row>
    <row r="14" spans="4:12">
      <c r="D14" s="338"/>
      <c r="E14"/>
      <c r="F14"/>
      <c r="G14"/>
      <c r="H14"/>
      <c r="I14"/>
      <c r="J14"/>
      <c r="K14"/>
      <c r="L14"/>
    </row>
    <row r="15" spans="4:12">
      <c r="D15" s="338"/>
      <c r="E15"/>
      <c r="F15"/>
      <c r="G15"/>
      <c r="H15"/>
      <c r="I15"/>
      <c r="J15"/>
      <c r="K15"/>
      <c r="L15"/>
    </row>
    <row r="16" spans="4:12">
      <c r="D16" s="338"/>
      <c r="E16"/>
      <c r="F16"/>
      <c r="G16"/>
      <c r="H16"/>
      <c r="I16"/>
      <c r="J16"/>
      <c r="K16"/>
      <c r="L16"/>
    </row>
    <row r="17" spans="3:12">
      <c r="D17" s="338"/>
      <c r="E17"/>
      <c r="F17"/>
      <c r="G17"/>
      <c r="H17"/>
      <c r="I17"/>
      <c r="J17"/>
      <c r="K17"/>
      <c r="L17"/>
    </row>
    <row r="18" spans="3:12">
      <c r="D18" s="338"/>
      <c r="E18"/>
      <c r="F18"/>
      <c r="G18"/>
      <c r="H18"/>
      <c r="I18"/>
      <c r="J18"/>
      <c r="K18"/>
      <c r="L18"/>
    </row>
    <row r="19" spans="3:12" s="339" customFormat="1" ht="30" customHeight="1">
      <c r="D19" s="387"/>
    </row>
    <row r="20" spans="3:12">
      <c r="D20" s="338"/>
      <c r="E20"/>
      <c r="F20"/>
      <c r="G20"/>
      <c r="H20"/>
      <c r="I20"/>
      <c r="J20"/>
      <c r="K20"/>
      <c r="L20"/>
    </row>
    <row r="21" spans="3:12">
      <c r="D21" s="338"/>
      <c r="E21"/>
      <c r="F21"/>
      <c r="G21"/>
      <c r="H21"/>
      <c r="I21"/>
      <c r="J21"/>
      <c r="K21"/>
      <c r="L21"/>
    </row>
    <row r="22" spans="3:12" s="339" customFormat="1" ht="30" customHeight="1">
      <c r="C22" s="1554"/>
      <c r="D22" s="1554"/>
      <c r="E22" s="1554"/>
      <c r="F22" s="1554"/>
      <c r="G22" s="1554"/>
      <c r="H22" s="1554"/>
    </row>
    <row r="23" spans="3:12" s="339" customFormat="1" ht="30" customHeight="1">
      <c r="D23" s="387"/>
    </row>
    <row r="24" spans="3:12" s="339" customFormat="1" ht="30" customHeight="1">
      <c r="C24" s="534" t="s">
        <v>276</v>
      </c>
      <c r="D24" s="311" t="s">
        <v>1549</v>
      </c>
      <c r="E24" s="1830" t="s">
        <v>761</v>
      </c>
      <c r="F24" s="1822"/>
      <c r="G24" s="549" t="s">
        <v>762</v>
      </c>
      <c r="H24" s="436"/>
    </row>
    <row r="25" spans="3:12" s="339" customFormat="1" ht="30" customHeight="1">
      <c r="C25" s="375">
        <v>1</v>
      </c>
      <c r="D25" s="563" t="s">
        <v>1550</v>
      </c>
      <c r="E25" s="1817">
        <f>L73</f>
        <v>6782</v>
      </c>
      <c r="F25" s="1818"/>
      <c r="G25" s="533"/>
      <c r="H25" s="437"/>
    </row>
    <row r="26" spans="3:12" s="339" customFormat="1" ht="30" customHeight="1">
      <c r="C26" s="405">
        <v>2</v>
      </c>
      <c r="D26" s="564" t="s">
        <v>1551</v>
      </c>
      <c r="E26" s="1831">
        <f>L98</f>
        <v>6989</v>
      </c>
      <c r="F26" s="1832"/>
      <c r="G26" s="552"/>
      <c r="H26" s="437"/>
    </row>
    <row r="27" spans="3:12">
      <c r="D27" s="338"/>
      <c r="E27"/>
      <c r="F27"/>
      <c r="G27"/>
      <c r="H27"/>
      <c r="I27"/>
      <c r="J27"/>
      <c r="K27"/>
      <c r="L27"/>
    </row>
    <row r="28" spans="3:12">
      <c r="D28" s="338"/>
      <c r="E28"/>
      <c r="F28"/>
      <c r="G28"/>
      <c r="H28"/>
      <c r="I28"/>
      <c r="J28"/>
      <c r="K28"/>
      <c r="L28"/>
    </row>
    <row r="29" spans="3:12">
      <c r="D29" s="338"/>
      <c r="E29"/>
      <c r="F29"/>
      <c r="G29"/>
      <c r="H29"/>
      <c r="I29"/>
      <c r="J29"/>
      <c r="K29"/>
      <c r="L29"/>
    </row>
    <row r="30" spans="3:12">
      <c r="D30" s="338"/>
      <c r="E30"/>
      <c r="F30"/>
      <c r="G30"/>
      <c r="H30"/>
      <c r="I30"/>
      <c r="J30"/>
      <c r="K30"/>
      <c r="L30"/>
    </row>
    <row r="31" spans="3:12">
      <c r="D31" s="338"/>
      <c r="E31"/>
      <c r="F31"/>
      <c r="G31"/>
      <c r="H31"/>
      <c r="I31"/>
      <c r="J31"/>
      <c r="K31"/>
      <c r="L31"/>
    </row>
    <row r="32" spans="3:12">
      <c r="D32" s="338"/>
      <c r="E32"/>
      <c r="F32"/>
      <c r="G32"/>
      <c r="H32"/>
      <c r="I32"/>
      <c r="J32"/>
      <c r="K32"/>
      <c r="L32"/>
    </row>
    <row r="33" spans="4:12">
      <c r="D33" s="338"/>
      <c r="E33"/>
      <c r="F33"/>
      <c r="G33"/>
      <c r="H33"/>
      <c r="I33"/>
      <c r="J33"/>
      <c r="K33"/>
      <c r="L33"/>
    </row>
    <row r="34" spans="4:12">
      <c r="D34" s="338"/>
      <c r="E34"/>
      <c r="F34"/>
      <c r="G34"/>
      <c r="H34"/>
      <c r="I34"/>
      <c r="J34"/>
      <c r="K34"/>
      <c r="L34"/>
    </row>
    <row r="35" spans="4:12">
      <c r="D35" s="338"/>
      <c r="E35"/>
      <c r="F35"/>
      <c r="G35"/>
      <c r="H35"/>
      <c r="I35"/>
      <c r="J35"/>
      <c r="K35"/>
      <c r="L35"/>
    </row>
    <row r="36" spans="4:12">
      <c r="D36" s="338"/>
      <c r="E36"/>
      <c r="F36"/>
      <c r="G36"/>
      <c r="H36"/>
      <c r="I36"/>
      <c r="J36"/>
      <c r="K36"/>
      <c r="L36"/>
    </row>
    <row r="37" spans="4:12">
      <c r="D37" s="338"/>
      <c r="E37"/>
      <c r="F37"/>
      <c r="G37"/>
      <c r="H37"/>
      <c r="I37"/>
      <c r="J37"/>
      <c r="K37"/>
      <c r="L37"/>
    </row>
    <row r="38" spans="4:12">
      <c r="D38" s="338"/>
      <c r="E38"/>
      <c r="F38"/>
      <c r="G38"/>
      <c r="H38"/>
      <c r="I38"/>
      <c r="J38"/>
      <c r="K38"/>
      <c r="L38"/>
    </row>
    <row r="39" spans="4:12">
      <c r="D39" s="338"/>
      <c r="E39"/>
      <c r="F39"/>
      <c r="G39"/>
      <c r="H39"/>
      <c r="I39"/>
      <c r="J39"/>
      <c r="K39"/>
      <c r="L39"/>
    </row>
    <row r="40" spans="4:12">
      <c r="D40" s="338"/>
      <c r="E40"/>
      <c r="F40"/>
      <c r="G40"/>
      <c r="H40"/>
      <c r="I40"/>
      <c r="J40"/>
      <c r="K40"/>
      <c r="L40"/>
    </row>
    <row r="41" spans="4:12">
      <c r="D41" s="338"/>
      <c r="E41"/>
      <c r="F41"/>
      <c r="G41"/>
      <c r="H41"/>
      <c r="I41"/>
      <c r="J41"/>
      <c r="K41"/>
      <c r="L41"/>
    </row>
    <row r="42" spans="4:12">
      <c r="D42" s="338"/>
      <c r="E42"/>
      <c r="F42"/>
      <c r="G42"/>
      <c r="H42"/>
      <c r="I42"/>
      <c r="J42"/>
      <c r="K42"/>
      <c r="L42"/>
    </row>
    <row r="43" spans="4:12">
      <c r="D43" s="338"/>
      <c r="E43"/>
      <c r="F43"/>
      <c r="G43"/>
      <c r="H43"/>
      <c r="I43"/>
      <c r="J43"/>
      <c r="K43"/>
      <c r="L43"/>
    </row>
    <row r="44" spans="4:12">
      <c r="D44" s="338"/>
      <c r="E44"/>
      <c r="F44"/>
      <c r="G44"/>
      <c r="H44"/>
      <c r="I44"/>
      <c r="J44"/>
      <c r="K44"/>
      <c r="L44"/>
    </row>
    <row r="45" spans="4:12">
      <c r="D45" s="338"/>
      <c r="E45"/>
      <c r="F45"/>
      <c r="G45"/>
      <c r="H45"/>
      <c r="I45"/>
      <c r="J45"/>
      <c r="K45"/>
      <c r="L45"/>
    </row>
    <row r="46" spans="4:12">
      <c r="D46" s="338"/>
      <c r="E46"/>
      <c r="F46"/>
      <c r="G46"/>
      <c r="H46"/>
      <c r="I46"/>
      <c r="J46"/>
      <c r="K46"/>
      <c r="L46"/>
    </row>
    <row r="47" spans="4:12">
      <c r="D47" s="338"/>
      <c r="E47"/>
      <c r="F47"/>
      <c r="G47"/>
      <c r="H47"/>
      <c r="I47"/>
      <c r="J47"/>
      <c r="K47"/>
      <c r="L47"/>
    </row>
    <row r="48" spans="4:12">
      <c r="D48" s="338"/>
      <c r="E48"/>
      <c r="F48"/>
      <c r="G48"/>
      <c r="H48"/>
      <c r="I48"/>
      <c r="J48"/>
      <c r="K48"/>
      <c r="L48"/>
    </row>
    <row r="49" spans="1:13">
      <c r="D49" s="338"/>
      <c r="E49"/>
      <c r="F49"/>
      <c r="G49"/>
      <c r="H49"/>
      <c r="I49"/>
      <c r="J49"/>
      <c r="K49"/>
      <c r="L49"/>
    </row>
    <row r="50" spans="1:13" ht="30" customHeight="1">
      <c r="B50" s="1829" t="s">
        <v>1548</v>
      </c>
      <c r="C50" s="1829"/>
      <c r="D50" s="1829"/>
      <c r="E50" s="1829"/>
      <c r="F50" s="1829"/>
      <c r="G50" s="1829"/>
      <c r="H50" s="1829"/>
      <c r="I50" s="1829"/>
      <c r="J50" s="1829"/>
      <c r="K50" s="558"/>
      <c r="L50" s="310"/>
      <c r="M50" s="557"/>
    </row>
    <row r="51" spans="1:13" ht="30" customHeight="1">
      <c r="A51" s="1555" t="s">
        <v>821</v>
      </c>
      <c r="B51" s="1549" t="s">
        <v>822</v>
      </c>
      <c r="C51" s="1549" t="s">
        <v>824</v>
      </c>
      <c r="D51" s="1814" t="s">
        <v>823</v>
      </c>
      <c r="E51" s="1814" t="s">
        <v>825</v>
      </c>
      <c r="F51" s="1814"/>
      <c r="G51" s="1814" t="s">
        <v>826</v>
      </c>
      <c r="H51" s="1814"/>
      <c r="I51" s="1814" t="s">
        <v>827</v>
      </c>
      <c r="J51" s="1814"/>
      <c r="K51" s="1814" t="s">
        <v>1075</v>
      </c>
      <c r="L51" s="1814"/>
      <c r="M51" s="1550" t="s">
        <v>1507</v>
      </c>
    </row>
    <row r="52" spans="1:13" ht="30" customHeight="1">
      <c r="A52" s="1547"/>
      <c r="B52" s="1548"/>
      <c r="C52" s="1548"/>
      <c r="D52" s="1548"/>
      <c r="E52" s="312" t="s">
        <v>829</v>
      </c>
      <c r="F52" s="312" t="s">
        <v>830</v>
      </c>
      <c r="G52" s="312" t="s">
        <v>829</v>
      </c>
      <c r="H52" s="312" t="s">
        <v>830</v>
      </c>
      <c r="I52" s="312" t="s">
        <v>829</v>
      </c>
      <c r="J52" s="312" t="s">
        <v>830</v>
      </c>
      <c r="K52" s="312" t="s">
        <v>1508</v>
      </c>
      <c r="L52" s="312" t="s">
        <v>830</v>
      </c>
      <c r="M52" s="1551"/>
    </row>
    <row r="53" spans="1:13" ht="30" customHeight="1">
      <c r="A53" s="313" t="s">
        <v>1509</v>
      </c>
      <c r="B53" s="314"/>
      <c r="C53" s="316"/>
      <c r="D53" s="317"/>
      <c r="E53" s="318"/>
      <c r="F53" s="318"/>
      <c r="G53" s="318"/>
      <c r="H53" s="318"/>
      <c r="I53" s="318"/>
      <c r="J53" s="318"/>
      <c r="K53" s="318"/>
      <c r="L53" s="318"/>
      <c r="M53" s="559"/>
    </row>
    <row r="54" spans="1:13" ht="30" customHeight="1">
      <c r="A54" s="319" t="s">
        <v>1510</v>
      </c>
      <c r="B54" s="320" t="s">
        <v>1088</v>
      </c>
      <c r="C54" s="320" t="s">
        <v>1511</v>
      </c>
      <c r="D54" s="321">
        <v>1.2</v>
      </c>
      <c r="E54" s="322">
        <v>1300</v>
      </c>
      <c r="F54" s="322">
        <f>D54*E54</f>
        <v>1560</v>
      </c>
      <c r="G54" s="322"/>
      <c r="H54" s="322"/>
      <c r="I54" s="322"/>
      <c r="J54" s="322"/>
      <c r="K54" s="322"/>
      <c r="L54" s="322"/>
      <c r="M54" s="560"/>
    </row>
    <row r="55" spans="1:13" ht="30" customHeight="1">
      <c r="A55" s="319" t="s">
        <v>1512</v>
      </c>
      <c r="B55" s="320" t="s">
        <v>1513</v>
      </c>
      <c r="C55" s="320" t="s">
        <v>1514</v>
      </c>
      <c r="D55" s="327">
        <v>1</v>
      </c>
      <c r="E55" s="322">
        <v>280</v>
      </c>
      <c r="F55" s="322">
        <f>D55*E55</f>
        <v>280</v>
      </c>
      <c r="G55" s="322"/>
      <c r="H55" s="322"/>
      <c r="I55" s="322"/>
      <c r="J55" s="322"/>
      <c r="K55" s="322"/>
      <c r="L55" s="322"/>
      <c r="M55" s="560"/>
    </row>
    <row r="56" spans="1:13" ht="30" customHeight="1">
      <c r="A56" s="319" t="s">
        <v>1515</v>
      </c>
      <c r="B56" s="320" t="s">
        <v>1516</v>
      </c>
      <c r="C56" s="320" t="s">
        <v>1517</v>
      </c>
      <c r="D56" s="327">
        <v>1</v>
      </c>
      <c r="E56" s="324">
        <f>SUM(F54:F55)*3%</f>
        <v>55.199999999999996</v>
      </c>
      <c r="F56" s="324">
        <f>D56*E56</f>
        <v>55.199999999999996</v>
      </c>
      <c r="G56" s="322"/>
      <c r="H56" s="322"/>
      <c r="I56" s="322"/>
      <c r="J56" s="322"/>
      <c r="K56" s="322"/>
      <c r="L56" s="322"/>
      <c r="M56" s="560"/>
    </row>
    <row r="57" spans="1:13" ht="30" customHeight="1">
      <c r="A57" s="319" t="s">
        <v>1518</v>
      </c>
      <c r="B57" s="320" t="s">
        <v>1519</v>
      </c>
      <c r="C57" s="320" t="s">
        <v>1520</v>
      </c>
      <c r="D57" s="323">
        <v>2E-3</v>
      </c>
      <c r="E57" s="322"/>
      <c r="F57" s="322"/>
      <c r="G57" s="322">
        <f ca="1">'11.0시중노임'!F4</f>
        <v>92218</v>
      </c>
      <c r="H57" s="324">
        <f>INT(D57*G57)</f>
        <v>184</v>
      </c>
      <c r="I57" s="322"/>
      <c r="J57" s="322"/>
      <c r="K57" s="322"/>
      <c r="L57" s="322"/>
      <c r="M57" s="560"/>
    </row>
    <row r="58" spans="1:13" ht="30" customHeight="1">
      <c r="A58" s="319" t="s">
        <v>1518</v>
      </c>
      <c r="B58" s="320" t="s">
        <v>1521</v>
      </c>
      <c r="C58" s="320" t="s">
        <v>1520</v>
      </c>
      <c r="D58" s="561">
        <v>0.01</v>
      </c>
      <c r="E58" s="322"/>
      <c r="F58" s="322"/>
      <c r="G58" s="322">
        <f ca="1">'11.0시중노임'!F5</f>
        <v>84404</v>
      </c>
      <c r="H58" s="324">
        <f>INT(D58*G58)</f>
        <v>844</v>
      </c>
      <c r="I58" s="322"/>
      <c r="J58" s="322"/>
      <c r="K58" s="322"/>
      <c r="L58" s="322"/>
      <c r="M58" s="560"/>
    </row>
    <row r="59" spans="1:13" ht="30" customHeight="1">
      <c r="A59" s="319" t="s">
        <v>1518</v>
      </c>
      <c r="B59" s="320" t="s">
        <v>1522</v>
      </c>
      <c r="C59" s="320" t="s">
        <v>1520</v>
      </c>
      <c r="D59" s="323">
        <v>1.7000000000000001E-2</v>
      </c>
      <c r="E59" s="322"/>
      <c r="F59" s="322"/>
      <c r="G59" s="322">
        <f ca="1">'11.0시중노임'!F6</f>
        <v>68965</v>
      </c>
      <c r="H59" s="324">
        <f>INT(D59*G59)</f>
        <v>1172</v>
      </c>
      <c r="I59" s="322"/>
      <c r="J59" s="322"/>
      <c r="K59" s="322"/>
      <c r="L59" s="322"/>
      <c r="M59" s="560"/>
    </row>
    <row r="60" spans="1:13" ht="30" customHeight="1">
      <c r="A60" s="319" t="s">
        <v>1523</v>
      </c>
      <c r="B60" s="320"/>
      <c r="C60" s="320"/>
      <c r="D60" s="321"/>
      <c r="E60" s="322"/>
      <c r="F60" s="322">
        <f>INT(SUM(F54:F59))</f>
        <v>1895</v>
      </c>
      <c r="G60" s="322"/>
      <c r="H60" s="322">
        <f>INT(SUM(H54:H59))</f>
        <v>2200</v>
      </c>
      <c r="I60" s="322"/>
      <c r="J60" s="322"/>
      <c r="K60" s="322"/>
      <c r="L60" s="322">
        <f>INT(F60+H60+J60)</f>
        <v>4095</v>
      </c>
      <c r="M60" s="560"/>
    </row>
    <row r="61" spans="1:13" ht="30" customHeight="1">
      <c r="A61" s="325" t="s">
        <v>1524</v>
      </c>
      <c r="B61" s="326"/>
      <c r="C61" s="316"/>
      <c r="D61" s="317"/>
      <c r="E61" s="318"/>
      <c r="F61" s="318"/>
      <c r="G61" s="318"/>
      <c r="H61" s="318"/>
      <c r="I61" s="318"/>
      <c r="J61" s="318"/>
      <c r="K61" s="318"/>
      <c r="L61" s="318"/>
      <c r="M61" s="559"/>
    </row>
    <row r="62" spans="1:13" ht="30" customHeight="1">
      <c r="A62" s="319" t="s">
        <v>1525</v>
      </c>
      <c r="B62" s="320" t="s">
        <v>1526</v>
      </c>
      <c r="C62" s="320" t="s">
        <v>1527</v>
      </c>
      <c r="D62" s="327">
        <v>25</v>
      </c>
      <c r="E62" s="322">
        <v>10</v>
      </c>
      <c r="F62" s="322">
        <f>INT(D62*E62)</f>
        <v>250</v>
      </c>
      <c r="G62" s="322"/>
      <c r="H62" s="322"/>
      <c r="I62" s="322"/>
      <c r="J62" s="322"/>
      <c r="K62" s="322"/>
      <c r="L62" s="322"/>
      <c r="M62" s="560"/>
    </row>
    <row r="63" spans="1:13" ht="30" customHeight="1">
      <c r="A63" s="319" t="s">
        <v>1528</v>
      </c>
      <c r="B63" s="320" t="s">
        <v>1529</v>
      </c>
      <c r="C63" s="320" t="s">
        <v>1527</v>
      </c>
      <c r="D63" s="327">
        <v>250</v>
      </c>
      <c r="E63" s="324">
        <v>0.6</v>
      </c>
      <c r="F63" s="322">
        <f>INT(D63*E63)</f>
        <v>150</v>
      </c>
      <c r="G63" s="322"/>
      <c r="H63" s="322"/>
      <c r="I63" s="322"/>
      <c r="J63" s="322"/>
      <c r="K63" s="322"/>
      <c r="L63" s="322"/>
      <c r="M63" s="560"/>
    </row>
    <row r="64" spans="1:13" ht="30" customHeight="1">
      <c r="A64" s="319" t="s">
        <v>1530</v>
      </c>
      <c r="B64" s="320" t="s">
        <v>1531</v>
      </c>
      <c r="C64" s="320" t="s">
        <v>1527</v>
      </c>
      <c r="D64" s="327">
        <v>100</v>
      </c>
      <c r="E64" s="322">
        <v>3</v>
      </c>
      <c r="F64" s="322">
        <f>INT(D64*E64)</f>
        <v>300</v>
      </c>
      <c r="G64" s="322"/>
      <c r="H64" s="322"/>
      <c r="I64" s="322"/>
      <c r="J64" s="322"/>
      <c r="K64" s="322"/>
      <c r="L64" s="322"/>
      <c r="M64" s="560"/>
    </row>
    <row r="65" spans="1:13" ht="30" customHeight="1">
      <c r="A65" s="319" t="s">
        <v>1532</v>
      </c>
      <c r="B65" s="320" t="s">
        <v>1533</v>
      </c>
      <c r="C65" s="320" t="s">
        <v>1527</v>
      </c>
      <c r="D65" s="327">
        <v>100</v>
      </c>
      <c r="E65" s="328">
        <v>0.28999999999999998</v>
      </c>
      <c r="F65" s="322">
        <f>INT(D65*E65)</f>
        <v>29</v>
      </c>
      <c r="G65" s="322"/>
      <c r="H65" s="322"/>
      <c r="I65" s="322"/>
      <c r="J65" s="322"/>
      <c r="K65" s="322"/>
      <c r="L65" s="322"/>
      <c r="M65" s="560"/>
    </row>
    <row r="66" spans="1:13" ht="30" customHeight="1">
      <c r="A66" s="319" t="s">
        <v>1534</v>
      </c>
      <c r="B66" s="320" t="s">
        <v>1535</v>
      </c>
      <c r="C66" s="320" t="s">
        <v>1527</v>
      </c>
      <c r="D66" s="327">
        <v>2</v>
      </c>
      <c r="E66" s="322">
        <v>13</v>
      </c>
      <c r="F66" s="322">
        <f>INT(D66*E66)</f>
        <v>26</v>
      </c>
      <c r="G66" s="322"/>
      <c r="H66" s="322"/>
      <c r="I66" s="322"/>
      <c r="J66" s="322"/>
      <c r="K66" s="322"/>
      <c r="L66" s="322"/>
      <c r="M66" s="560"/>
    </row>
    <row r="67" spans="1:13" ht="30" customHeight="1">
      <c r="A67" s="319" t="s">
        <v>1536</v>
      </c>
      <c r="B67" s="320" t="s">
        <v>1521</v>
      </c>
      <c r="C67" s="320" t="s">
        <v>1520</v>
      </c>
      <c r="D67" s="323">
        <v>2E-3</v>
      </c>
      <c r="E67" s="322"/>
      <c r="F67" s="322"/>
      <c r="G67" s="322">
        <f>G58</f>
        <v>84404</v>
      </c>
      <c r="H67" s="324">
        <f>(D67*G67)</f>
        <v>168.80799999999999</v>
      </c>
      <c r="I67" s="322"/>
      <c r="J67" s="322"/>
      <c r="K67" s="322"/>
      <c r="L67" s="322"/>
      <c r="M67" s="560"/>
    </row>
    <row r="68" spans="1:13" ht="30" customHeight="1">
      <c r="A68" s="319" t="s">
        <v>1536</v>
      </c>
      <c r="B68" s="320" t="s">
        <v>1522</v>
      </c>
      <c r="C68" s="320" t="s">
        <v>1520</v>
      </c>
      <c r="D68" s="323">
        <v>1.7999999999999999E-2</v>
      </c>
      <c r="E68" s="322"/>
      <c r="F68" s="322"/>
      <c r="G68" s="322">
        <f>G59</f>
        <v>68965</v>
      </c>
      <c r="H68" s="324">
        <f>(D68*G68)</f>
        <v>1241.3699999999999</v>
      </c>
      <c r="I68" s="322"/>
      <c r="J68" s="322"/>
      <c r="K68" s="322"/>
      <c r="L68" s="322"/>
      <c r="M68" s="560"/>
    </row>
    <row r="69" spans="1:13" ht="30" customHeight="1">
      <c r="A69" s="319" t="s">
        <v>1537</v>
      </c>
      <c r="B69" s="320"/>
      <c r="C69" s="320" t="s">
        <v>1538</v>
      </c>
      <c r="D69" s="329">
        <v>6.4000000000000003E-3</v>
      </c>
      <c r="E69" s="322">
        <v>8451</v>
      </c>
      <c r="F69" s="322">
        <f>INT(D69*E69)</f>
        <v>54</v>
      </c>
      <c r="G69" s="322">
        <v>16925</v>
      </c>
      <c r="H69" s="324">
        <f>(D69*G69)</f>
        <v>108.32000000000001</v>
      </c>
      <c r="I69" s="322">
        <v>8159</v>
      </c>
      <c r="J69" s="324">
        <f>INT(D69*I69)</f>
        <v>52</v>
      </c>
      <c r="K69" s="322"/>
      <c r="L69" s="322"/>
      <c r="M69" s="560"/>
    </row>
    <row r="70" spans="1:13" ht="30" customHeight="1">
      <c r="A70" s="319" t="s">
        <v>1539</v>
      </c>
      <c r="B70" s="320" t="s">
        <v>1540</v>
      </c>
      <c r="C70" s="320" t="s">
        <v>1538</v>
      </c>
      <c r="D70" s="323">
        <v>8.0000000000000002E-3</v>
      </c>
      <c r="E70" s="322">
        <f ca="1">'9.0중기목록'!F14</f>
        <v>13117</v>
      </c>
      <c r="F70" s="322">
        <f ca="1">INT(D70*E70)</f>
        <v>104</v>
      </c>
      <c r="G70" s="322">
        <f ca="1">'9.0중기목록'!E14</f>
        <v>17696</v>
      </c>
      <c r="H70" s="324">
        <f ca="1">(D70*G70)</f>
        <v>141.56800000000001</v>
      </c>
      <c r="I70" s="322">
        <f ca="1">'9.0중기목록'!G14</f>
        <v>7823</v>
      </c>
      <c r="J70" s="324">
        <f>INT(D70*I70)</f>
        <v>62</v>
      </c>
      <c r="K70" s="322"/>
      <c r="L70" s="322"/>
      <c r="M70" s="560"/>
    </row>
    <row r="71" spans="1:13" ht="30" customHeight="1">
      <c r="A71" s="319" t="s">
        <v>1523</v>
      </c>
      <c r="B71" s="320"/>
      <c r="C71" s="320"/>
      <c r="D71" s="321"/>
      <c r="E71" s="322"/>
      <c r="F71" s="322">
        <f>INT(SUM(F62:F70))</f>
        <v>913</v>
      </c>
      <c r="G71" s="322"/>
      <c r="H71" s="322">
        <f>INT(SUM(H62:H70))</f>
        <v>1660</v>
      </c>
      <c r="I71" s="322"/>
      <c r="J71" s="322">
        <f>INT(SUM(J62:J70))</f>
        <v>114</v>
      </c>
      <c r="K71" s="322"/>
      <c r="L71" s="322">
        <f>INT(F71+H71+J71)</f>
        <v>2687</v>
      </c>
      <c r="M71" s="560"/>
    </row>
    <row r="72" spans="1:13" ht="30" customHeight="1">
      <c r="A72" s="330"/>
      <c r="B72" s="331" t="s">
        <v>1541</v>
      </c>
      <c r="C72" s="331"/>
      <c r="D72" s="331"/>
      <c r="E72" s="331"/>
      <c r="F72" s="331"/>
      <c r="G72" s="331"/>
      <c r="H72" s="331"/>
      <c r="I72" s="331"/>
      <c r="J72" s="331"/>
      <c r="K72" s="318"/>
      <c r="L72" s="318"/>
      <c r="M72" s="559"/>
    </row>
    <row r="73" spans="1:13" ht="30" customHeight="1">
      <c r="A73" s="332" t="s">
        <v>1542</v>
      </c>
      <c r="B73" s="1812" t="s">
        <v>1543</v>
      </c>
      <c r="C73" s="1813"/>
      <c r="D73" s="333"/>
      <c r="E73" s="334"/>
      <c r="F73" s="334">
        <f>INT(F71+F60)</f>
        <v>2808</v>
      </c>
      <c r="G73" s="334"/>
      <c r="H73" s="334">
        <f>INT(H71+H60)</f>
        <v>3860</v>
      </c>
      <c r="I73" s="334"/>
      <c r="J73" s="334">
        <f>INT(J71+J60)</f>
        <v>114</v>
      </c>
      <c r="K73" s="334"/>
      <c r="L73" s="334">
        <f>INT(L60+L71)</f>
        <v>6782</v>
      </c>
      <c r="M73" s="562"/>
    </row>
    <row r="74" spans="1:13" ht="30" customHeight="1">
      <c r="K74" s="336"/>
      <c r="L74" s="336" t="s">
        <v>1546</v>
      </c>
    </row>
    <row r="75" spans="1:13" ht="30" customHeight="1">
      <c r="B75" s="1829" t="s">
        <v>1547</v>
      </c>
      <c r="C75" s="1829"/>
      <c r="D75" s="1829"/>
      <c r="E75" s="1829"/>
      <c r="F75" s="1829"/>
      <c r="G75" s="1829"/>
      <c r="H75" s="1829"/>
      <c r="I75" s="1829"/>
      <c r="J75" s="1829"/>
      <c r="K75" s="558"/>
      <c r="L75" s="310"/>
      <c r="M75" s="557"/>
    </row>
    <row r="76" spans="1:13" ht="30" customHeight="1">
      <c r="A76" s="1555" t="s">
        <v>821</v>
      </c>
      <c r="B76" s="1549" t="s">
        <v>822</v>
      </c>
      <c r="C76" s="1549" t="s">
        <v>824</v>
      </c>
      <c r="D76" s="1814" t="s">
        <v>823</v>
      </c>
      <c r="E76" s="1814" t="s">
        <v>825</v>
      </c>
      <c r="F76" s="1814"/>
      <c r="G76" s="1814" t="s">
        <v>826</v>
      </c>
      <c r="H76" s="1814"/>
      <c r="I76" s="1814" t="s">
        <v>827</v>
      </c>
      <c r="J76" s="1814"/>
      <c r="K76" s="1814" t="s">
        <v>1075</v>
      </c>
      <c r="L76" s="1814"/>
      <c r="M76" s="1550" t="s">
        <v>1507</v>
      </c>
    </row>
    <row r="77" spans="1:13" ht="30" customHeight="1">
      <c r="A77" s="1547"/>
      <c r="B77" s="1548"/>
      <c r="C77" s="1548"/>
      <c r="D77" s="1548"/>
      <c r="E77" s="312" t="s">
        <v>829</v>
      </c>
      <c r="F77" s="312" t="s">
        <v>830</v>
      </c>
      <c r="G77" s="312" t="s">
        <v>829</v>
      </c>
      <c r="H77" s="312" t="s">
        <v>830</v>
      </c>
      <c r="I77" s="312" t="s">
        <v>829</v>
      </c>
      <c r="J77" s="312" t="s">
        <v>830</v>
      </c>
      <c r="K77" s="312" t="s">
        <v>1508</v>
      </c>
      <c r="L77" s="312" t="s">
        <v>830</v>
      </c>
      <c r="M77" s="1551"/>
    </row>
    <row r="78" spans="1:13" ht="30" customHeight="1">
      <c r="A78" s="313" t="s">
        <v>1544</v>
      </c>
      <c r="B78" s="314"/>
      <c r="C78" s="316"/>
      <c r="D78" s="317"/>
      <c r="E78" s="318"/>
      <c r="F78" s="318"/>
      <c r="G78" s="318"/>
      <c r="H78" s="318"/>
      <c r="I78" s="318"/>
      <c r="J78" s="318"/>
      <c r="K78" s="318"/>
      <c r="L78" s="318"/>
      <c r="M78" s="559"/>
    </row>
    <row r="79" spans="1:13" ht="30" customHeight="1">
      <c r="A79" s="319" t="s">
        <v>1545</v>
      </c>
      <c r="B79" s="320" t="s">
        <v>1088</v>
      </c>
      <c r="C79" s="320" t="s">
        <v>1511</v>
      </c>
      <c r="D79" s="321">
        <v>1.2</v>
      </c>
      <c r="E79" s="322">
        <v>1300</v>
      </c>
      <c r="F79" s="322">
        <f>INT(D79*E79)</f>
        <v>1560</v>
      </c>
      <c r="G79" s="322"/>
      <c r="H79" s="322"/>
      <c r="I79" s="322"/>
      <c r="J79" s="322"/>
      <c r="K79" s="322"/>
      <c r="L79" s="322"/>
      <c r="M79" s="560"/>
    </row>
    <row r="80" spans="1:13" ht="30" customHeight="1">
      <c r="A80" s="319" t="s">
        <v>1512</v>
      </c>
      <c r="B80" s="320" t="s">
        <v>1513</v>
      </c>
      <c r="C80" s="320" t="s">
        <v>1514</v>
      </c>
      <c r="D80" s="321">
        <v>1</v>
      </c>
      <c r="E80" s="322">
        <v>280</v>
      </c>
      <c r="F80" s="322">
        <f>INT(D80*E80)</f>
        <v>280</v>
      </c>
      <c r="G80" s="322"/>
      <c r="H80" s="322"/>
      <c r="I80" s="322"/>
      <c r="J80" s="322"/>
      <c r="K80" s="322"/>
      <c r="L80" s="322"/>
      <c r="M80" s="560"/>
    </row>
    <row r="81" spans="1:13" ht="30" customHeight="1">
      <c r="A81" s="319" t="s">
        <v>1515</v>
      </c>
      <c r="B81" s="320" t="s">
        <v>1516</v>
      </c>
      <c r="C81" s="320" t="s">
        <v>1517</v>
      </c>
      <c r="D81" s="321">
        <v>1</v>
      </c>
      <c r="E81" s="324">
        <f>SUM(F79:F80)*3%</f>
        <v>55.199999999999996</v>
      </c>
      <c r="F81" s="322">
        <f>INT(D81*E81)</f>
        <v>55</v>
      </c>
      <c r="G81" s="322"/>
      <c r="H81" s="322"/>
      <c r="I81" s="322"/>
      <c r="J81" s="322"/>
      <c r="K81" s="322"/>
      <c r="L81" s="322"/>
      <c r="M81" s="560"/>
    </row>
    <row r="82" spans="1:13" ht="30" customHeight="1">
      <c r="A82" s="319" t="s">
        <v>1518</v>
      </c>
      <c r="B82" s="320" t="s">
        <v>1519</v>
      </c>
      <c r="C82" s="320" t="s">
        <v>1520</v>
      </c>
      <c r="D82" s="323">
        <v>2E-3</v>
      </c>
      <c r="E82" s="322"/>
      <c r="F82" s="322"/>
      <c r="G82" s="322">
        <f>G57</f>
        <v>92218</v>
      </c>
      <c r="H82" s="324">
        <f>D82*G82</f>
        <v>184.43600000000001</v>
      </c>
      <c r="I82" s="322"/>
      <c r="J82" s="322"/>
      <c r="K82" s="322"/>
      <c r="L82" s="322"/>
      <c r="M82" s="560"/>
    </row>
    <row r="83" spans="1:13" ht="30" customHeight="1">
      <c r="A83" s="319" t="s">
        <v>1518</v>
      </c>
      <c r="B83" s="320" t="s">
        <v>1521</v>
      </c>
      <c r="C83" s="320" t="s">
        <v>1520</v>
      </c>
      <c r="D83" s="561">
        <v>0.01</v>
      </c>
      <c r="E83" s="322"/>
      <c r="F83" s="322"/>
      <c r="G83" s="322">
        <f>G58</f>
        <v>84404</v>
      </c>
      <c r="H83" s="324">
        <f>D83*G83</f>
        <v>844.04</v>
      </c>
      <c r="I83" s="322"/>
      <c r="J83" s="322"/>
      <c r="K83" s="322"/>
      <c r="L83" s="322"/>
      <c r="M83" s="560"/>
    </row>
    <row r="84" spans="1:13" ht="30" customHeight="1">
      <c r="A84" s="319" t="s">
        <v>1518</v>
      </c>
      <c r="B84" s="320" t="s">
        <v>1522</v>
      </c>
      <c r="C84" s="320" t="s">
        <v>1520</v>
      </c>
      <c r="D84" s="323">
        <v>0.02</v>
      </c>
      <c r="E84" s="322"/>
      <c r="F84" s="322"/>
      <c r="G84" s="322">
        <f>G59</f>
        <v>68965</v>
      </c>
      <c r="H84" s="324">
        <f>D84*G84</f>
        <v>1379.3</v>
      </c>
      <c r="I84" s="322"/>
      <c r="J84" s="322"/>
      <c r="K84" s="322"/>
      <c r="L84" s="322"/>
      <c r="M84" s="560"/>
    </row>
    <row r="85" spans="1:13" ht="30" customHeight="1">
      <c r="A85" s="319" t="s">
        <v>1523</v>
      </c>
      <c r="B85" s="320"/>
      <c r="C85" s="320"/>
      <c r="D85" s="321"/>
      <c r="E85" s="322"/>
      <c r="F85" s="322">
        <f>INT(SUM(F79:F84))</f>
        <v>1895</v>
      </c>
      <c r="G85" s="322"/>
      <c r="H85" s="322">
        <f>INT(SUM(H79:H84))</f>
        <v>2407</v>
      </c>
      <c r="I85" s="322"/>
      <c r="J85" s="322"/>
      <c r="K85" s="322"/>
      <c r="L85" s="322">
        <f>INT(F85+H85+J85)</f>
        <v>4302</v>
      </c>
      <c r="M85" s="560"/>
    </row>
    <row r="86" spans="1:13" ht="30" customHeight="1">
      <c r="A86" s="325" t="s">
        <v>1524</v>
      </c>
      <c r="B86" s="326"/>
      <c r="C86" s="316"/>
      <c r="D86" s="317"/>
      <c r="E86" s="318"/>
      <c r="F86" s="318"/>
      <c r="G86" s="318"/>
      <c r="H86" s="318"/>
      <c r="I86" s="318"/>
      <c r="J86" s="318"/>
      <c r="K86" s="318"/>
      <c r="L86" s="318"/>
      <c r="M86" s="559"/>
    </row>
    <row r="87" spans="1:13" ht="30" customHeight="1">
      <c r="A87" s="319" t="s">
        <v>1525</v>
      </c>
      <c r="B87" s="320" t="s">
        <v>1526</v>
      </c>
      <c r="C87" s="320" t="s">
        <v>1527</v>
      </c>
      <c r="D87" s="327">
        <v>25</v>
      </c>
      <c r="E87" s="322">
        <v>10</v>
      </c>
      <c r="F87" s="322">
        <f>INT(D87*E87)</f>
        <v>250</v>
      </c>
      <c r="G87" s="322"/>
      <c r="H87" s="322"/>
      <c r="I87" s="322"/>
      <c r="J87" s="322"/>
      <c r="K87" s="322"/>
      <c r="L87" s="322"/>
      <c r="M87" s="560"/>
    </row>
    <row r="88" spans="1:13" ht="30" customHeight="1">
      <c r="A88" s="319" t="s">
        <v>1528</v>
      </c>
      <c r="B88" s="320" t="s">
        <v>1529</v>
      </c>
      <c r="C88" s="320" t="s">
        <v>1527</v>
      </c>
      <c r="D88" s="327">
        <v>250</v>
      </c>
      <c r="E88" s="324">
        <v>0.6</v>
      </c>
      <c r="F88" s="322">
        <f>INT(D88*E88)</f>
        <v>150</v>
      </c>
      <c r="G88" s="322"/>
      <c r="H88" s="322"/>
      <c r="I88" s="322"/>
      <c r="J88" s="322"/>
      <c r="K88" s="322"/>
      <c r="L88" s="322"/>
      <c r="M88" s="560"/>
    </row>
    <row r="89" spans="1:13" ht="30" customHeight="1">
      <c r="A89" s="319" t="s">
        <v>1530</v>
      </c>
      <c r="B89" s="320" t="s">
        <v>1531</v>
      </c>
      <c r="C89" s="320" t="s">
        <v>1527</v>
      </c>
      <c r="D89" s="327">
        <v>100</v>
      </c>
      <c r="E89" s="322">
        <v>3</v>
      </c>
      <c r="F89" s="322">
        <f>INT(D89*E89)</f>
        <v>300</v>
      </c>
      <c r="G89" s="322"/>
      <c r="H89" s="322"/>
      <c r="I89" s="322"/>
      <c r="J89" s="322"/>
      <c r="K89" s="322"/>
      <c r="L89" s="322"/>
      <c r="M89" s="560"/>
    </row>
    <row r="90" spans="1:13" ht="30" customHeight="1">
      <c r="A90" s="319" t="s">
        <v>1532</v>
      </c>
      <c r="B90" s="320" t="s">
        <v>1533</v>
      </c>
      <c r="C90" s="320" t="s">
        <v>1527</v>
      </c>
      <c r="D90" s="327">
        <v>100</v>
      </c>
      <c r="E90" s="328">
        <v>0.28999999999999998</v>
      </c>
      <c r="F90" s="322">
        <f>INT(D90*E90)</f>
        <v>29</v>
      </c>
      <c r="G90" s="322"/>
      <c r="H90" s="322"/>
      <c r="I90" s="322"/>
      <c r="J90" s="322"/>
      <c r="K90" s="322"/>
      <c r="L90" s="322"/>
      <c r="M90" s="560"/>
    </row>
    <row r="91" spans="1:13" ht="30" customHeight="1">
      <c r="A91" s="319" t="s">
        <v>1534</v>
      </c>
      <c r="B91" s="320" t="s">
        <v>1535</v>
      </c>
      <c r="C91" s="320" t="s">
        <v>1527</v>
      </c>
      <c r="D91" s="327">
        <v>2</v>
      </c>
      <c r="E91" s="322">
        <v>13</v>
      </c>
      <c r="F91" s="322">
        <f>INT(D91*E91)</f>
        <v>26</v>
      </c>
      <c r="G91" s="322"/>
      <c r="H91" s="322"/>
      <c r="I91" s="322"/>
      <c r="J91" s="322"/>
      <c r="K91" s="322"/>
      <c r="L91" s="322"/>
      <c r="M91" s="560"/>
    </row>
    <row r="92" spans="1:13" ht="30" customHeight="1">
      <c r="A92" s="319" t="s">
        <v>1536</v>
      </c>
      <c r="B92" s="320" t="s">
        <v>1521</v>
      </c>
      <c r="C92" s="320" t="s">
        <v>1520</v>
      </c>
      <c r="D92" s="323">
        <v>2E-3</v>
      </c>
      <c r="E92" s="322"/>
      <c r="F92" s="322"/>
      <c r="G92" s="322">
        <f>G83</f>
        <v>84404</v>
      </c>
      <c r="H92" s="324">
        <f>D92*G92</f>
        <v>168.80799999999999</v>
      </c>
      <c r="I92" s="322"/>
      <c r="J92" s="322"/>
      <c r="K92" s="322"/>
      <c r="L92" s="322"/>
      <c r="M92" s="560"/>
    </row>
    <row r="93" spans="1:13" ht="30" customHeight="1">
      <c r="A93" s="319" t="s">
        <v>1536</v>
      </c>
      <c r="B93" s="320" t="s">
        <v>1522</v>
      </c>
      <c r="C93" s="320" t="s">
        <v>1520</v>
      </c>
      <c r="D93" s="323">
        <v>1.7999999999999999E-2</v>
      </c>
      <c r="E93" s="322"/>
      <c r="F93" s="322"/>
      <c r="G93" s="322">
        <f>G84</f>
        <v>68965</v>
      </c>
      <c r="H93" s="324">
        <f>D93*G93</f>
        <v>1241.3699999999999</v>
      </c>
      <c r="I93" s="322"/>
      <c r="J93" s="322"/>
      <c r="K93" s="322"/>
      <c r="L93" s="322"/>
      <c r="M93" s="560"/>
    </row>
    <row r="94" spans="1:13" ht="30" customHeight="1">
      <c r="A94" s="319" t="s">
        <v>1537</v>
      </c>
      <c r="B94" s="320"/>
      <c r="C94" s="320" t="s">
        <v>1538</v>
      </c>
      <c r="D94" s="329">
        <v>6.4000000000000003E-3</v>
      </c>
      <c r="E94" s="322">
        <v>8451</v>
      </c>
      <c r="F94" s="322">
        <f>INT(D94*E94)</f>
        <v>54</v>
      </c>
      <c r="G94" s="322">
        <v>16925</v>
      </c>
      <c r="H94" s="324">
        <f>D94*G94</f>
        <v>108.32000000000001</v>
      </c>
      <c r="I94" s="322">
        <v>8159</v>
      </c>
      <c r="J94" s="324">
        <f>I94*D94</f>
        <v>52.217600000000004</v>
      </c>
      <c r="K94" s="322"/>
      <c r="L94" s="322"/>
      <c r="M94" s="560"/>
    </row>
    <row r="95" spans="1:13" ht="30" customHeight="1">
      <c r="A95" s="319" t="s">
        <v>1539</v>
      </c>
      <c r="B95" s="320" t="s">
        <v>1540</v>
      </c>
      <c r="C95" s="320" t="s">
        <v>1538</v>
      </c>
      <c r="D95" s="323">
        <v>8.0000000000000002E-3</v>
      </c>
      <c r="E95" s="322">
        <f ca="1">'9.0중기목록'!F14</f>
        <v>13117</v>
      </c>
      <c r="F95" s="322">
        <f ca="1">INT(D95*E95)</f>
        <v>104</v>
      </c>
      <c r="G95" s="322">
        <f ca="1">'9.0중기목록'!E14</f>
        <v>17696</v>
      </c>
      <c r="H95" s="324">
        <f ca="1">D95*G95</f>
        <v>141.56800000000001</v>
      </c>
      <c r="I95" s="322">
        <f ca="1">'9.0중기목록'!G14</f>
        <v>7823</v>
      </c>
      <c r="J95" s="324">
        <f>I95*D95</f>
        <v>62.584000000000003</v>
      </c>
      <c r="K95" s="322"/>
      <c r="L95" s="322"/>
      <c r="M95" s="560"/>
    </row>
    <row r="96" spans="1:13" ht="30" customHeight="1">
      <c r="A96" s="319" t="s">
        <v>1523</v>
      </c>
      <c r="B96" s="320"/>
      <c r="C96" s="320"/>
      <c r="D96" s="321"/>
      <c r="E96" s="322"/>
      <c r="F96" s="322">
        <f>INT(SUM(F87:F95))</f>
        <v>913</v>
      </c>
      <c r="G96" s="322"/>
      <c r="H96" s="322">
        <f>INT(SUM(H87:H95))</f>
        <v>1660</v>
      </c>
      <c r="I96" s="322"/>
      <c r="J96" s="322">
        <f>INT(SUM(J87:J95))</f>
        <v>114</v>
      </c>
      <c r="K96" s="322"/>
      <c r="L96" s="322">
        <f>INT(F96+H96+J96)</f>
        <v>2687</v>
      </c>
      <c r="M96" s="560"/>
    </row>
    <row r="97" spans="1:13" ht="30" customHeight="1">
      <c r="A97" s="330"/>
      <c r="B97" s="331" t="s">
        <v>1541</v>
      </c>
      <c r="C97" s="331"/>
      <c r="D97" s="331"/>
      <c r="E97" s="331"/>
      <c r="F97" s="331"/>
      <c r="G97" s="331"/>
      <c r="H97" s="331"/>
      <c r="I97" s="331"/>
      <c r="J97" s="331"/>
      <c r="K97" s="318"/>
      <c r="L97" s="318"/>
      <c r="M97" s="559"/>
    </row>
    <row r="98" spans="1:13" ht="30" customHeight="1">
      <c r="A98" s="332" t="s">
        <v>1542</v>
      </c>
      <c r="B98" s="1812" t="s">
        <v>1543</v>
      </c>
      <c r="C98" s="1813"/>
      <c r="D98" s="333"/>
      <c r="E98" s="334"/>
      <c r="F98" s="334">
        <f>INT(F96+F85)</f>
        <v>2808</v>
      </c>
      <c r="G98" s="334"/>
      <c r="H98" s="334">
        <f>INT(H96+H85)</f>
        <v>4067</v>
      </c>
      <c r="I98" s="334"/>
      <c r="J98" s="334">
        <f>INT(J96+J85)</f>
        <v>114</v>
      </c>
      <c r="K98" s="334"/>
      <c r="L98" s="334">
        <f>L85+L96</f>
        <v>6989</v>
      </c>
      <c r="M98" s="562"/>
    </row>
    <row r="99" spans="1:13" ht="30" customHeight="1">
      <c r="K99" s="336"/>
      <c r="L99" s="336" t="s">
        <v>1546</v>
      </c>
    </row>
    <row r="100" spans="1:13">
      <c r="K100" s="336"/>
      <c r="L100" s="336"/>
    </row>
  </sheetData>
  <mergeCells count="26">
    <mergeCell ref="E24:F24"/>
    <mergeCell ref="C22:H22"/>
    <mergeCell ref="E25:F25"/>
    <mergeCell ref="E26:F26"/>
    <mergeCell ref="A76:A77"/>
    <mergeCell ref="B76:B77"/>
    <mergeCell ref="C76:C77"/>
    <mergeCell ref="D76:D77"/>
    <mergeCell ref="A51:A52"/>
    <mergeCell ref="B50:J50"/>
    <mergeCell ref="B75:J75"/>
    <mergeCell ref="M51:M52"/>
    <mergeCell ref="B73:C73"/>
    <mergeCell ref="E51:F51"/>
    <mergeCell ref="G51:H51"/>
    <mergeCell ref="I51:J51"/>
    <mergeCell ref="K51:L51"/>
    <mergeCell ref="B51:B52"/>
    <mergeCell ref="C51:C52"/>
    <mergeCell ref="D51:D52"/>
    <mergeCell ref="B98:C98"/>
    <mergeCell ref="K76:L76"/>
    <mergeCell ref="M76:M77"/>
    <mergeCell ref="E76:F76"/>
    <mergeCell ref="G76:H76"/>
    <mergeCell ref="I76:J76"/>
  </mergeCells>
  <phoneticPr fontId="3" type="noConversion"/>
  <printOptions horizontalCentered="1" verticalCentered="1"/>
  <pageMargins left="0.53" right="0.59055118110236227" top="0.47244094488188981" bottom="0.51181102362204722" header="0.51181102362204722" footer="0.51181102362204722"/>
  <pageSetup paperSize="9" orientation="portrait" horizontalDpi="4294967295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>
  <dimension ref="A1:N97"/>
  <sheetViews>
    <sheetView topLeftCell="A52" zoomScaleSheetLayoutView="90" workbookViewId="0">
      <selection activeCell="P6" sqref="P6"/>
    </sheetView>
  </sheetViews>
  <sheetFormatPr defaultRowHeight="13.5"/>
  <cols>
    <col min="1" max="1" width="10.77734375" style="101" customWidth="1"/>
    <col min="2" max="2" width="9.77734375" style="101" customWidth="1"/>
    <col min="3" max="3" width="4.77734375" style="101" customWidth="1"/>
    <col min="4" max="4" width="4.33203125" style="120" customWidth="1"/>
    <col min="5" max="5" width="7.33203125" style="120" customWidth="1"/>
    <col min="6" max="6" width="6.33203125" style="101" customWidth="1"/>
    <col min="7" max="7" width="7" style="101" customWidth="1"/>
    <col min="8" max="9" width="6.33203125" style="101" customWidth="1"/>
    <col min="10" max="10" width="7.77734375" style="101" bestFit="1" customWidth="1"/>
    <col min="11" max="11" width="6.33203125" style="101" customWidth="1"/>
    <col min="12" max="16384" width="8.88671875" style="101"/>
  </cols>
  <sheetData>
    <row r="1" spans="3:10" customFormat="1">
      <c r="D1" s="338"/>
    </row>
    <row r="2" spans="3:10" customFormat="1">
      <c r="D2" s="338"/>
    </row>
    <row r="3" spans="3:10" customFormat="1">
      <c r="D3" s="338"/>
    </row>
    <row r="4" spans="3:10" customFormat="1">
      <c r="D4" s="338"/>
    </row>
    <row r="5" spans="3:10" customFormat="1">
      <c r="D5" s="338"/>
    </row>
    <row r="6" spans="3:10" customFormat="1">
      <c r="D6" s="338"/>
    </row>
    <row r="7" spans="3:10" customFormat="1">
      <c r="D7" s="338"/>
    </row>
    <row r="8" spans="3:10" customFormat="1">
      <c r="D8" s="338"/>
    </row>
    <row r="9" spans="3:10" customFormat="1">
      <c r="D9" s="338"/>
    </row>
    <row r="10" spans="3:10" customFormat="1">
      <c r="D10" s="338"/>
    </row>
    <row r="11" spans="3:10" customFormat="1">
      <c r="D11" s="338"/>
    </row>
    <row r="12" spans="3:10" customFormat="1">
      <c r="D12" s="338"/>
    </row>
    <row r="13" spans="3:10" customFormat="1">
      <c r="D13" s="338"/>
    </row>
    <row r="14" spans="3:10" customFormat="1">
      <c r="D14" s="338"/>
    </row>
    <row r="15" spans="3:10" customFormat="1">
      <c r="D15" s="338"/>
    </row>
    <row r="16" spans="3:10" s="339" customFormat="1" ht="24.95" customHeight="1">
      <c r="C16" s="1555" t="s">
        <v>276</v>
      </c>
      <c r="D16" s="1549" t="s">
        <v>752</v>
      </c>
      <c r="E16" s="1549"/>
      <c r="F16" s="1549" t="s">
        <v>1503</v>
      </c>
      <c r="G16" s="1549"/>
      <c r="H16" s="1549"/>
      <c r="I16" s="1830"/>
      <c r="J16" s="1550" t="s">
        <v>1568</v>
      </c>
    </row>
    <row r="17" spans="3:14" s="339" customFormat="1" ht="35.1" customHeight="1">
      <c r="C17" s="1547"/>
      <c r="D17" s="1548"/>
      <c r="E17" s="1548"/>
      <c r="F17" s="371" t="s">
        <v>1373</v>
      </c>
      <c r="G17" s="556" t="s">
        <v>1504</v>
      </c>
      <c r="H17" s="545" t="s">
        <v>1501</v>
      </c>
      <c r="I17" s="568" t="s">
        <v>1502</v>
      </c>
      <c r="J17" s="1551"/>
    </row>
    <row r="18" spans="3:14" s="339" customFormat="1" ht="30" customHeight="1">
      <c r="C18" s="551">
        <v>1</v>
      </c>
      <c r="D18" s="1847" t="s">
        <v>802</v>
      </c>
      <c r="E18" s="1848"/>
      <c r="F18" s="371">
        <f ca="1">G18-('8.0자재단가'!$I$14-'8.0자재단가'!$I$12)*30*1.02</f>
        <v>4874</v>
      </c>
      <c r="G18" s="553">
        <f ca="1">E67</f>
        <v>6710</v>
      </c>
      <c r="H18" s="371">
        <f ca="1">G18-('8.0자재단가'!$I$14-'8.0자재단가'!$I$15)*30*1.02</f>
        <v>8852</v>
      </c>
      <c r="I18" s="566">
        <f ca="1">G18-('8.0자재단가'!$I$14-'8.0자재단가'!$I$13)*30*1.02</f>
        <v>7322</v>
      </c>
      <c r="J18" s="560" t="s">
        <v>1569</v>
      </c>
      <c r="N18" s="550"/>
    </row>
    <row r="19" spans="3:14" s="339" customFormat="1" ht="30" customHeight="1">
      <c r="C19" s="370">
        <v>2</v>
      </c>
      <c r="D19" s="1844" t="s">
        <v>807</v>
      </c>
      <c r="E19" s="1825"/>
      <c r="F19" s="371">
        <f ca="1">G19-('8.0자재단가'!$I$14-'8.0자재단가'!$I$12)*30*1.02</f>
        <v>10994</v>
      </c>
      <c r="G19" s="553">
        <f ca="1">E97</f>
        <v>12830</v>
      </c>
      <c r="H19" s="371">
        <f ca="1">G19-('8.0자재단가'!$I$14-'8.0자재단가'!$I$15)*30*1.02</f>
        <v>14972</v>
      </c>
      <c r="I19" s="566">
        <f ca="1">G19-('8.0자재단가'!$I$14-'8.0자재단가'!$I$13)*30*1.02</f>
        <v>13442</v>
      </c>
      <c r="J19" s="560" t="s">
        <v>1570</v>
      </c>
    </row>
    <row r="20" spans="3:14" s="339" customFormat="1" ht="30" customHeight="1">
      <c r="C20" s="370">
        <v>3</v>
      </c>
      <c r="D20" s="1844" t="s">
        <v>808</v>
      </c>
      <c r="E20" s="1825"/>
      <c r="F20" s="371">
        <f ca="1">G20-('8.0자재단가'!$I$14-'8.0자재단가'!$I$12)*30*1.02</f>
        <v>19848</v>
      </c>
      <c r="G20" s="553">
        <f ca="1">JSB섬유망!E35</f>
        <v>21684</v>
      </c>
      <c r="H20" s="371">
        <f ca="1">G20-('8.0자재단가'!$I$14-'8.0자재단가'!$I$15)*30*1.02</f>
        <v>23826</v>
      </c>
      <c r="I20" s="566">
        <f ca="1">G20-('8.0자재단가'!$I$14-'8.0자재단가'!$I$13)*30*1.02</f>
        <v>22296</v>
      </c>
      <c r="J20" s="560" t="s">
        <v>264</v>
      </c>
    </row>
    <row r="21" spans="3:14" s="339" customFormat="1" ht="30" customHeight="1">
      <c r="C21" s="370">
        <v>4</v>
      </c>
      <c r="D21" s="1844" t="s">
        <v>809</v>
      </c>
      <c r="E21" s="1825"/>
      <c r="F21" s="371">
        <f ca="1">G21-('8.0자재단가'!$I$14-'8.0자재단가'!$I$12)*30*1.02</f>
        <v>27280</v>
      </c>
      <c r="G21" s="553">
        <f ca="1">JSB섬유망!E71</f>
        <v>29116</v>
      </c>
      <c r="H21" s="371">
        <f ca="1">G21-('8.0자재단가'!$I$14-'8.0자재단가'!$I$15)*30*1.02</f>
        <v>31258</v>
      </c>
      <c r="I21" s="566">
        <f ca="1">G21-('8.0자재단가'!$I$14-'8.0자재단가'!$I$13)*30*1.02</f>
        <v>29728</v>
      </c>
      <c r="J21" s="560" t="s">
        <v>265</v>
      </c>
    </row>
    <row r="22" spans="3:14" s="339" customFormat="1" ht="30" customHeight="1">
      <c r="C22" s="370">
        <v>5</v>
      </c>
      <c r="D22" s="1844" t="s">
        <v>1392</v>
      </c>
      <c r="E22" s="1825"/>
      <c r="F22" s="371">
        <f ca="1">G22-('8.0자재단가'!$I$14-'8.0자재단가'!$I$12)*30*1.02</f>
        <v>35254</v>
      </c>
      <c r="G22" s="553">
        <f ca="1">JSB섬유망!E107</f>
        <v>37090</v>
      </c>
      <c r="H22" s="371">
        <f ca="1">G22-('8.0자재단가'!$I$14-'8.0자재단가'!$I$15)*30*1.02</f>
        <v>39232</v>
      </c>
      <c r="I22" s="566">
        <f ca="1">G22-('8.0자재단가'!$I$14-'8.0자재단가'!$I$13)*30*1.02</f>
        <v>37702</v>
      </c>
      <c r="J22" s="560" t="s">
        <v>266</v>
      </c>
    </row>
    <row r="23" spans="3:14" s="339" customFormat="1" ht="30" customHeight="1">
      <c r="C23" s="529">
        <v>6</v>
      </c>
      <c r="D23" s="1845" t="s">
        <v>1393</v>
      </c>
      <c r="E23" s="1846"/>
      <c r="F23" s="371">
        <f ca="1">G23-('8.0자재단가'!$I$14-'8.0자재단가'!$I$12)*30*1.02</f>
        <v>33532</v>
      </c>
      <c r="G23" s="554">
        <f ca="1">JSB철망!E46</f>
        <v>35368</v>
      </c>
      <c r="H23" s="371">
        <f ca="1">G23-('8.0자재단가'!$I$14-'8.0자재단가'!$I$15)*30*1.02</f>
        <v>37510</v>
      </c>
      <c r="I23" s="566">
        <f ca="1">G23-('8.0자재단가'!$I$14-'8.0자재단가'!$I$13)*30*1.02</f>
        <v>35980</v>
      </c>
      <c r="J23" s="560" t="s">
        <v>265</v>
      </c>
    </row>
    <row r="24" spans="3:14" s="339" customFormat="1" ht="30" customHeight="1">
      <c r="C24" s="375">
        <v>7</v>
      </c>
      <c r="D24" s="1548" t="s">
        <v>810</v>
      </c>
      <c r="E24" s="1548"/>
      <c r="F24" s="371">
        <f ca="1">G24-('8.0자재단가'!$I$14-'8.0자재단가'!$I$12)*30*1.02</f>
        <v>41506</v>
      </c>
      <c r="G24" s="553">
        <f ca="1">JSB철망!E92</f>
        <v>43342</v>
      </c>
      <c r="H24" s="371">
        <f ca="1">G24-('8.0자재단가'!$I$14-'8.0자재단가'!$I$15)*30*1.02</f>
        <v>45484</v>
      </c>
      <c r="I24" s="566">
        <f ca="1">G24-('8.0자재단가'!$I$14-'8.0자재단가'!$I$13)*30*1.02</f>
        <v>43954</v>
      </c>
      <c r="J24" s="560" t="s">
        <v>267</v>
      </c>
    </row>
    <row r="25" spans="3:14" s="339" customFormat="1" ht="30" customHeight="1">
      <c r="C25" s="375">
        <v>8</v>
      </c>
      <c r="D25" s="1548" t="s">
        <v>1394</v>
      </c>
      <c r="E25" s="1548"/>
      <c r="F25" s="371">
        <f ca="1">G25-('8.0자재단가'!$I$14-'8.0자재단가'!$I$12)*30*1.02</f>
        <v>52559</v>
      </c>
      <c r="G25" s="553">
        <f ca="1">JSB철망!E138</f>
        <v>54395</v>
      </c>
      <c r="H25" s="371">
        <f ca="1">G25-('8.0자재단가'!$I$14-'8.0자재단가'!$I$15)*30*1.02</f>
        <v>56537</v>
      </c>
      <c r="I25" s="566">
        <f ca="1">G25-('8.0자재단가'!$I$14-'8.0자재단가'!$I$13)*30*1.02</f>
        <v>55007</v>
      </c>
      <c r="J25" s="560" t="s">
        <v>267</v>
      </c>
    </row>
    <row r="26" spans="3:14" s="339" customFormat="1" ht="30" customHeight="1">
      <c r="C26" s="532">
        <v>9</v>
      </c>
      <c r="D26" s="1841" t="s">
        <v>1395</v>
      </c>
      <c r="E26" s="1842"/>
      <c r="F26" s="372">
        <f ca="1">G26-('8.0자재단가'!$I$14-'8.0자재단가'!$I$12)*30*1.02</f>
        <v>63021</v>
      </c>
      <c r="G26" s="555">
        <f ca="1">JSB철망!E184</f>
        <v>64857</v>
      </c>
      <c r="H26" s="372">
        <f ca="1">G26-('8.0자재단가'!$I$14-'8.0자재단가'!$I$15)*30*1.02</f>
        <v>66999</v>
      </c>
      <c r="I26" s="567">
        <f ca="1">G26-('8.0자재단가'!$I$14-'8.0자재단가'!$I$13)*30*1.02</f>
        <v>65469</v>
      </c>
      <c r="J26" s="562" t="s">
        <v>267</v>
      </c>
      <c r="N26" s="550"/>
    </row>
    <row r="27" spans="3:14" customFormat="1">
      <c r="D27" s="338"/>
    </row>
    <row r="28" spans="3:14" customFormat="1">
      <c r="C28" t="s">
        <v>1505</v>
      </c>
      <c r="D28" s="338"/>
    </row>
    <row r="29" spans="3:14" customFormat="1">
      <c r="C29" t="s">
        <v>1506</v>
      </c>
      <c r="D29" s="338"/>
    </row>
    <row r="30" spans="3:14" customFormat="1">
      <c r="D30" s="338"/>
    </row>
    <row r="31" spans="3:14" customFormat="1">
      <c r="D31" s="338"/>
    </row>
    <row r="32" spans="3:14" customFormat="1">
      <c r="D32" s="338"/>
    </row>
    <row r="33" spans="1:14" customFormat="1">
      <c r="D33" s="338"/>
    </row>
    <row r="34" spans="1:14" customFormat="1">
      <c r="D34" s="338"/>
    </row>
    <row r="35" spans="1:14" customFormat="1">
      <c r="D35" s="338"/>
    </row>
    <row r="36" spans="1:14" customFormat="1">
      <c r="D36" s="338"/>
    </row>
    <row r="37" spans="1:14" customFormat="1">
      <c r="D37" s="338"/>
    </row>
    <row r="38" spans="1:14" ht="18.95" customHeight="1">
      <c r="A38" s="1843"/>
      <c r="B38" s="1843"/>
      <c r="C38" s="1843"/>
      <c r="D38" s="1843"/>
      <c r="E38" s="1843"/>
      <c r="F38" s="1843"/>
      <c r="G38" s="1843"/>
      <c r="H38" s="1843"/>
      <c r="I38" s="1843"/>
      <c r="J38" s="1843"/>
      <c r="K38" s="1843"/>
    </row>
    <row r="39" spans="1:14" ht="26.1" customHeight="1">
      <c r="A39" s="1837" t="s">
        <v>1383</v>
      </c>
      <c r="B39" s="1837"/>
      <c r="C39" s="1837"/>
      <c r="D39" s="1837"/>
      <c r="E39" s="1837"/>
      <c r="F39" s="1837"/>
      <c r="G39" s="1837"/>
      <c r="H39" s="1837"/>
      <c r="I39" s="1837"/>
      <c r="J39" s="1837"/>
      <c r="K39" s="1837"/>
    </row>
    <row r="40" spans="1:14" s="104" customFormat="1" ht="13.5" customHeight="1">
      <c r="A40" s="102"/>
      <c r="B40" s="102"/>
      <c r="C40" s="102"/>
      <c r="D40" s="103"/>
      <c r="E40" s="103"/>
      <c r="F40" s="102"/>
      <c r="G40" s="102"/>
      <c r="H40" s="102"/>
      <c r="I40" s="102"/>
      <c r="J40" s="102"/>
      <c r="K40" s="124" t="s">
        <v>977</v>
      </c>
    </row>
    <row r="41" spans="1:14" s="104" customFormat="1" ht="23.1" customHeight="1">
      <c r="A41" s="1838" t="s">
        <v>821</v>
      </c>
      <c r="B41" s="1835" t="s">
        <v>822</v>
      </c>
      <c r="C41" s="1835" t="s">
        <v>823</v>
      </c>
      <c r="D41" s="1835" t="s">
        <v>824</v>
      </c>
      <c r="E41" s="1833" t="s">
        <v>828</v>
      </c>
      <c r="F41" s="1835" t="s">
        <v>825</v>
      </c>
      <c r="G41" s="1835"/>
      <c r="H41" s="1835" t="s">
        <v>826</v>
      </c>
      <c r="I41" s="1835"/>
      <c r="J41" s="1835" t="s">
        <v>827</v>
      </c>
      <c r="K41" s="1840"/>
    </row>
    <row r="42" spans="1:14" s="105" customFormat="1" ht="23.1" customHeight="1">
      <c r="A42" s="1839"/>
      <c r="B42" s="1836"/>
      <c r="C42" s="1836"/>
      <c r="D42" s="1836"/>
      <c r="E42" s="1834"/>
      <c r="F42" s="398" t="s">
        <v>829</v>
      </c>
      <c r="G42" s="398" t="s">
        <v>830</v>
      </c>
      <c r="H42" s="398" t="s">
        <v>829</v>
      </c>
      <c r="I42" s="398" t="s">
        <v>830</v>
      </c>
      <c r="J42" s="398" t="s">
        <v>829</v>
      </c>
      <c r="K42" s="399" t="s">
        <v>830</v>
      </c>
    </row>
    <row r="43" spans="1:14" s="105" customFormat="1" ht="23.1" customHeight="1">
      <c r="A43" s="106" t="s">
        <v>850</v>
      </c>
      <c r="B43" s="107" t="s">
        <v>851</v>
      </c>
      <c r="C43" s="108">
        <f ca="1">'3.0수량표'!D28</f>
        <v>3.6</v>
      </c>
      <c r="D43" s="107" t="s">
        <v>831</v>
      </c>
      <c r="E43" s="109">
        <f>G43+I43+K43</f>
        <v>540</v>
      </c>
      <c r="F43" s="109">
        <f ca="1">'8.0자재단가'!$I$8</f>
        <v>150</v>
      </c>
      <c r="G43" s="109">
        <f>INT(C43*F43)</f>
        <v>540</v>
      </c>
      <c r="H43" s="109"/>
      <c r="I43" s="109"/>
      <c r="J43" s="109"/>
      <c r="K43" s="125"/>
    </row>
    <row r="44" spans="1:14" s="104" customFormat="1" ht="23.1" customHeight="1">
      <c r="A44" s="106" t="s">
        <v>852</v>
      </c>
      <c r="B44" s="110" t="s">
        <v>832</v>
      </c>
      <c r="C44" s="108">
        <f ca="1">'3.0수량표'!D29</f>
        <v>0.88</v>
      </c>
      <c r="D44" s="110" t="s">
        <v>858</v>
      </c>
      <c r="E44" s="112">
        <f>G44+I44+K44</f>
        <v>149</v>
      </c>
      <c r="F44" s="112">
        <f ca="1">'8.0자재단가'!$I$9</f>
        <v>170</v>
      </c>
      <c r="G44" s="112">
        <f>INT(C44*F44)</f>
        <v>149</v>
      </c>
      <c r="H44" s="112"/>
      <c r="I44" s="112"/>
      <c r="J44" s="112"/>
      <c r="K44" s="126"/>
    </row>
    <row r="45" spans="1:14" s="104" customFormat="1" ht="23.1" customHeight="1">
      <c r="A45" s="113" t="s">
        <v>853</v>
      </c>
      <c r="B45" s="114" t="s">
        <v>855</v>
      </c>
      <c r="C45" s="108">
        <f ca="1">'3.0수량표'!D30</f>
        <v>0.16</v>
      </c>
      <c r="D45" s="110" t="s">
        <v>841</v>
      </c>
      <c r="E45" s="112">
        <f t="shared" ref="E45:E61" si="0">G45+I45+K45</f>
        <v>32</v>
      </c>
      <c r="F45" s="112">
        <f ca="1">'8.0자재단가'!$I$10</f>
        <v>200</v>
      </c>
      <c r="G45" s="112">
        <f>INT(C45*F45)</f>
        <v>32</v>
      </c>
      <c r="H45" s="112"/>
      <c r="I45" s="112"/>
      <c r="J45" s="112"/>
      <c r="K45" s="126"/>
      <c r="M45" s="123"/>
      <c r="N45" s="123"/>
    </row>
    <row r="46" spans="1:14" s="104" customFormat="1" ht="23.1" customHeight="1">
      <c r="A46" s="113" t="s">
        <v>854</v>
      </c>
      <c r="B46" s="110" t="s">
        <v>833</v>
      </c>
      <c r="C46" s="108">
        <f ca="1">'3.0수량표'!D31</f>
        <v>0.04</v>
      </c>
      <c r="D46" s="110" t="s">
        <v>859</v>
      </c>
      <c r="E46" s="112">
        <f t="shared" si="0"/>
        <v>40</v>
      </c>
      <c r="F46" s="112">
        <f ca="1">'8.0자재단가'!$I$11</f>
        <v>1000</v>
      </c>
      <c r="G46" s="112">
        <f>INT(C46*F46)</f>
        <v>40</v>
      </c>
      <c r="H46" s="112"/>
      <c r="I46" s="112"/>
      <c r="J46" s="112"/>
      <c r="K46" s="126"/>
    </row>
    <row r="47" spans="1:14" s="104" customFormat="1" ht="23.1" customHeight="1">
      <c r="A47" s="113" t="s">
        <v>856</v>
      </c>
      <c r="B47" s="110" t="s">
        <v>834</v>
      </c>
      <c r="C47" s="108">
        <f ca="1">'3.0수량표'!D32</f>
        <v>30</v>
      </c>
      <c r="D47" s="110" t="s">
        <v>857</v>
      </c>
      <c r="E47" s="112">
        <f t="shared" si="0"/>
        <v>2400</v>
      </c>
      <c r="F47" s="112">
        <f ca="1">'8.0자재단가'!$I$14</f>
        <v>80</v>
      </c>
      <c r="G47" s="112">
        <f>INT(C47*F47)</f>
        <v>2400</v>
      </c>
      <c r="H47" s="112"/>
      <c r="I47" s="112"/>
      <c r="J47" s="112"/>
      <c r="K47" s="126"/>
      <c r="M47" s="150"/>
    </row>
    <row r="48" spans="1:14" s="104" customFormat="1" ht="23.1" customHeight="1">
      <c r="A48" s="113" t="s">
        <v>860</v>
      </c>
      <c r="B48" s="110" t="s">
        <v>979</v>
      </c>
      <c r="C48" s="108">
        <f ca="1">'3.0수량표'!D33</f>
        <v>2</v>
      </c>
      <c r="D48" s="110" t="s">
        <v>861</v>
      </c>
      <c r="E48" s="112">
        <f t="shared" si="0"/>
        <v>63</v>
      </c>
      <c r="F48" s="112">
        <f>SUM(G43:G47)</f>
        <v>3161</v>
      </c>
      <c r="G48" s="112">
        <f>INT(C48*F48/100)</f>
        <v>63</v>
      </c>
      <c r="H48" s="112"/>
      <c r="I48" s="112"/>
      <c r="J48" s="112"/>
      <c r="K48" s="126"/>
    </row>
    <row r="49" spans="1:11" s="104" customFormat="1" ht="23.1" customHeight="1">
      <c r="A49" s="117" t="s">
        <v>877</v>
      </c>
      <c r="B49" s="110" t="s">
        <v>878</v>
      </c>
      <c r="C49" s="108">
        <f ca="1">'3.0수량표'!D34</f>
        <v>0.01</v>
      </c>
      <c r="D49" s="110" t="s">
        <v>879</v>
      </c>
      <c r="E49" s="112">
        <f t="shared" si="0"/>
        <v>249</v>
      </c>
      <c r="F49" s="112">
        <f ca="1">'9.0중기목록'!$F$6</f>
        <v>0</v>
      </c>
      <c r="G49" s="112">
        <f t="shared" ref="G49:G54" si="1">INT(C49*F49)</f>
        <v>0</v>
      </c>
      <c r="H49" s="112">
        <f ca="1">'9.0중기목록'!$E$6</f>
        <v>0</v>
      </c>
      <c r="I49" s="112">
        <f ca="1">INT(C49*H49)</f>
        <v>0</v>
      </c>
      <c r="J49" s="112">
        <f ca="1">'9.0중기목록'!$G$6</f>
        <v>24973</v>
      </c>
      <c r="K49" s="126">
        <f t="shared" ref="K49:K54" si="2">INT(C49*J49)</f>
        <v>249</v>
      </c>
    </row>
    <row r="50" spans="1:11" s="104" customFormat="1" ht="23.1" customHeight="1">
      <c r="A50" s="117" t="s">
        <v>835</v>
      </c>
      <c r="B50" s="110" t="s">
        <v>844</v>
      </c>
      <c r="C50" s="108">
        <f ca="1">'3.0수량표'!D35</f>
        <v>0.01</v>
      </c>
      <c r="D50" s="110" t="s">
        <v>862</v>
      </c>
      <c r="E50" s="112">
        <f t="shared" si="0"/>
        <v>546</v>
      </c>
      <c r="F50" s="112">
        <f ca="1">'9.0중기목록'!$F$8</f>
        <v>29577</v>
      </c>
      <c r="G50" s="112">
        <f t="shared" si="1"/>
        <v>295</v>
      </c>
      <c r="H50" s="112">
        <f ca="1">'9.0중기목록'!$E$8</f>
        <v>20561</v>
      </c>
      <c r="I50" s="112">
        <f ca="1">INT(C50*H50)</f>
        <v>205</v>
      </c>
      <c r="J50" s="112">
        <f ca="1">'9.0중기목록'!$G$8</f>
        <v>4656</v>
      </c>
      <c r="K50" s="126">
        <f t="shared" si="2"/>
        <v>46</v>
      </c>
    </row>
    <row r="51" spans="1:11" s="104" customFormat="1" ht="23.1" customHeight="1">
      <c r="A51" s="117" t="s">
        <v>845</v>
      </c>
      <c r="B51" s="110" t="s">
        <v>863</v>
      </c>
      <c r="C51" s="108">
        <f ca="1">'3.0수량표'!D36</f>
        <v>0.01</v>
      </c>
      <c r="D51" s="110" t="s">
        <v>843</v>
      </c>
      <c r="E51" s="112">
        <f>G51+I51+K51</f>
        <v>428</v>
      </c>
      <c r="F51" s="112">
        <f ca="1">'9.0중기목록'!$F$10</f>
        <v>23409</v>
      </c>
      <c r="G51" s="112">
        <f t="shared" si="1"/>
        <v>234</v>
      </c>
      <c r="H51" s="112">
        <f ca="1">'9.0중기목록'!$E$10</f>
        <v>14915</v>
      </c>
      <c r="I51" s="112">
        <f ca="1">INT(C51*H51)</f>
        <v>149</v>
      </c>
      <c r="J51" s="112">
        <f ca="1">'9.0중기목록'!$G$10</f>
        <v>4533</v>
      </c>
      <c r="K51" s="126">
        <f t="shared" si="2"/>
        <v>45</v>
      </c>
    </row>
    <row r="52" spans="1:11" s="104" customFormat="1" ht="23.1" customHeight="1">
      <c r="A52" s="121" t="s">
        <v>864</v>
      </c>
      <c r="B52" s="110" t="s">
        <v>868</v>
      </c>
      <c r="C52" s="108">
        <f ca="1">'3.0수량표'!D37</f>
        <v>1.0999999999999999E-2</v>
      </c>
      <c r="D52" s="110" t="s">
        <v>843</v>
      </c>
      <c r="E52" s="112">
        <f t="shared" si="0"/>
        <v>380</v>
      </c>
      <c r="F52" s="112">
        <f ca="1">'9.0중기목록'!$F$12</f>
        <v>6640</v>
      </c>
      <c r="G52" s="112">
        <f t="shared" si="1"/>
        <v>73</v>
      </c>
      <c r="H52" s="112">
        <f ca="1">'9.0중기목록'!$E$12</f>
        <v>17696</v>
      </c>
      <c r="I52" s="112">
        <f t="shared" ref="I52:I58" si="3">INT(C52*H52)</f>
        <v>194</v>
      </c>
      <c r="J52" s="112">
        <f ca="1">'9.0중기목록'!$G$12</f>
        <v>10362</v>
      </c>
      <c r="K52" s="126">
        <f t="shared" si="2"/>
        <v>113</v>
      </c>
    </row>
    <row r="53" spans="1:11" s="104" customFormat="1" ht="23.1" customHeight="1">
      <c r="A53" s="113" t="s">
        <v>846</v>
      </c>
      <c r="B53" s="110" t="s">
        <v>847</v>
      </c>
      <c r="C53" s="108">
        <f ca="1">'3.0수량표'!D38</f>
        <v>0.01</v>
      </c>
      <c r="D53" s="110" t="s">
        <v>843</v>
      </c>
      <c r="E53" s="112">
        <f t="shared" si="0"/>
        <v>385</v>
      </c>
      <c r="F53" s="112">
        <f ca="1">'9.0중기목록'!$F$14</f>
        <v>13117</v>
      </c>
      <c r="G53" s="112">
        <f t="shared" si="1"/>
        <v>131</v>
      </c>
      <c r="H53" s="112">
        <f ca="1">'9.0중기목록'!$E$14</f>
        <v>17696</v>
      </c>
      <c r="I53" s="112">
        <f t="shared" si="3"/>
        <v>176</v>
      </c>
      <c r="J53" s="112">
        <f ca="1">'9.0중기목록'!$G$14</f>
        <v>7823</v>
      </c>
      <c r="K53" s="126">
        <f t="shared" si="2"/>
        <v>78</v>
      </c>
    </row>
    <row r="54" spans="1:11" s="104" customFormat="1" ht="23.1" customHeight="1">
      <c r="A54" s="117" t="s">
        <v>836</v>
      </c>
      <c r="B54" s="110" t="s">
        <v>867</v>
      </c>
      <c r="C54" s="108">
        <f ca="1">'3.0수량표'!D39</f>
        <v>0.01</v>
      </c>
      <c r="D54" s="110" t="s">
        <v>843</v>
      </c>
      <c r="E54" s="112">
        <f>G54+I54+K54</f>
        <v>356</v>
      </c>
      <c r="F54" s="112">
        <f ca="1">'9.0중기목록'!$F$16</f>
        <v>11978</v>
      </c>
      <c r="G54" s="112">
        <f t="shared" si="1"/>
        <v>119</v>
      </c>
      <c r="H54" s="112">
        <f ca="1">'9.0중기목록'!$E$16</f>
        <v>17696</v>
      </c>
      <c r="I54" s="112">
        <f ca="1">INT(C54*H54)</f>
        <v>176</v>
      </c>
      <c r="J54" s="112">
        <f ca="1">'9.0중기목록'!$G$16</f>
        <v>6117</v>
      </c>
      <c r="K54" s="126">
        <f t="shared" si="2"/>
        <v>61</v>
      </c>
    </row>
    <row r="55" spans="1:11" s="104" customFormat="1" ht="23.1" customHeight="1">
      <c r="A55" s="113" t="s">
        <v>837</v>
      </c>
      <c r="B55" s="110"/>
      <c r="C55" s="108">
        <f ca="1">'3.0수량표'!D40</f>
        <v>1E-3</v>
      </c>
      <c r="D55" s="110" t="s">
        <v>964</v>
      </c>
      <c r="E55" s="112">
        <f t="shared" si="0"/>
        <v>92</v>
      </c>
      <c r="F55" s="112"/>
      <c r="G55" s="112"/>
      <c r="H55" s="112">
        <f ca="1">'11.0시중노임'!$F$4</f>
        <v>92218</v>
      </c>
      <c r="I55" s="112">
        <f t="shared" si="3"/>
        <v>92</v>
      </c>
      <c r="J55" s="112"/>
      <c r="K55" s="126"/>
    </row>
    <row r="56" spans="1:11" s="104" customFormat="1" ht="23.1" customHeight="1">
      <c r="A56" s="113" t="s">
        <v>838</v>
      </c>
      <c r="B56" s="110"/>
      <c r="C56" s="108">
        <f ca="1">'3.0수량표'!D41</f>
        <v>3.0000000000000001E-3</v>
      </c>
      <c r="D56" s="110" t="s">
        <v>964</v>
      </c>
      <c r="E56" s="112">
        <f t="shared" si="0"/>
        <v>253</v>
      </c>
      <c r="F56" s="112"/>
      <c r="G56" s="112"/>
      <c r="H56" s="112">
        <f ca="1">'11.0시중노임'!$F$5</f>
        <v>84404</v>
      </c>
      <c r="I56" s="112">
        <f t="shared" si="3"/>
        <v>253</v>
      </c>
      <c r="J56" s="112"/>
      <c r="K56" s="126"/>
    </row>
    <row r="57" spans="1:11" s="104" customFormat="1" ht="23.1" customHeight="1">
      <c r="A57" s="113" t="s">
        <v>848</v>
      </c>
      <c r="B57" s="110"/>
      <c r="C57" s="108">
        <f ca="1">'3.0수량표'!D42</f>
        <v>1E-3</v>
      </c>
      <c r="D57" s="110" t="s">
        <v>964</v>
      </c>
      <c r="E57" s="112">
        <f t="shared" si="0"/>
        <v>86</v>
      </c>
      <c r="F57" s="112"/>
      <c r="G57" s="112"/>
      <c r="H57" s="112">
        <f ca="1">'11.0시중노임'!$F$12</f>
        <v>86521</v>
      </c>
      <c r="I57" s="112">
        <f t="shared" si="3"/>
        <v>86</v>
      </c>
      <c r="J57" s="112"/>
      <c r="K57" s="126"/>
    </row>
    <row r="58" spans="1:11" s="104" customFormat="1" ht="23.1" customHeight="1">
      <c r="A58" s="113" t="s">
        <v>839</v>
      </c>
      <c r="B58" s="110"/>
      <c r="C58" s="108">
        <f ca="1">'3.0수량표'!D43</f>
        <v>0.01</v>
      </c>
      <c r="D58" s="110" t="s">
        <v>964</v>
      </c>
      <c r="E58" s="112">
        <f t="shared" si="0"/>
        <v>689</v>
      </c>
      <c r="F58" s="112"/>
      <c r="G58" s="112"/>
      <c r="H58" s="112">
        <f ca="1">'11.0시중노임'!$F$6</f>
        <v>68965</v>
      </c>
      <c r="I58" s="112">
        <f t="shared" si="3"/>
        <v>689</v>
      </c>
      <c r="J58" s="112"/>
      <c r="K58" s="126"/>
    </row>
    <row r="59" spans="1:11" s="104" customFormat="1" ht="23.1" customHeight="1">
      <c r="A59" s="113" t="s">
        <v>840</v>
      </c>
      <c r="B59" s="110" t="s">
        <v>980</v>
      </c>
      <c r="C59" s="108">
        <f ca="1">'3.0수량표'!D44</f>
        <v>2</v>
      </c>
      <c r="D59" s="110" t="s">
        <v>965</v>
      </c>
      <c r="E59" s="112">
        <f t="shared" si="0"/>
        <v>22</v>
      </c>
      <c r="F59" s="112"/>
      <c r="G59" s="112"/>
      <c r="H59" s="112"/>
      <c r="I59" s="112"/>
      <c r="J59" s="112">
        <f>SUM(I55:I58)</f>
        <v>1120</v>
      </c>
      <c r="K59" s="126">
        <f>INT(C59*J59/100)</f>
        <v>22</v>
      </c>
    </row>
    <row r="60" spans="1:11" s="104" customFormat="1" ht="23.1" customHeight="1">
      <c r="A60" s="113"/>
      <c r="B60" s="110"/>
      <c r="C60" s="122"/>
      <c r="D60" s="110"/>
      <c r="E60" s="112"/>
      <c r="F60" s="112"/>
      <c r="G60" s="112"/>
      <c r="H60" s="112"/>
      <c r="I60" s="112"/>
      <c r="J60" s="112"/>
      <c r="K60" s="126"/>
    </row>
    <row r="61" spans="1:11" s="104" customFormat="1" ht="23.1" customHeight="1">
      <c r="A61" s="113" t="s">
        <v>849</v>
      </c>
      <c r="B61" s="110"/>
      <c r="C61" s="111"/>
      <c r="D61" s="110"/>
      <c r="E61" s="112">
        <f t="shared" si="0"/>
        <v>6710</v>
      </c>
      <c r="F61" s="112"/>
      <c r="G61" s="112">
        <f>SUM(G43:G60)</f>
        <v>4076</v>
      </c>
      <c r="H61" s="112"/>
      <c r="I61" s="112">
        <f>SUM(I43:I60)</f>
        <v>2020</v>
      </c>
      <c r="J61" s="112"/>
      <c r="K61" s="126">
        <f>SUM(K43:K60)</f>
        <v>614</v>
      </c>
    </row>
    <row r="62" spans="1:11" s="104" customFormat="1" ht="23.1" customHeight="1">
      <c r="A62" s="113"/>
      <c r="B62" s="110"/>
      <c r="C62" s="111"/>
      <c r="D62" s="110"/>
      <c r="E62" s="112"/>
      <c r="F62" s="112"/>
      <c r="G62" s="112"/>
      <c r="H62" s="112"/>
      <c r="I62" s="112"/>
      <c r="J62" s="112"/>
      <c r="K62" s="126"/>
    </row>
    <row r="63" spans="1:11" s="104" customFormat="1" ht="23.1" customHeight="1">
      <c r="A63" s="113"/>
      <c r="B63" s="118"/>
      <c r="C63" s="111"/>
      <c r="D63" s="110"/>
      <c r="E63" s="112"/>
      <c r="F63" s="112"/>
      <c r="G63" s="112"/>
      <c r="H63" s="112"/>
      <c r="I63" s="112"/>
      <c r="J63" s="112"/>
      <c r="K63" s="126"/>
    </row>
    <row r="64" spans="1:11" s="104" customFormat="1" ht="23.1" customHeight="1">
      <c r="A64" s="113"/>
      <c r="B64" s="118"/>
      <c r="C64" s="111"/>
      <c r="D64" s="110"/>
      <c r="E64" s="112"/>
      <c r="F64" s="112"/>
      <c r="G64" s="112"/>
      <c r="H64" s="112"/>
      <c r="I64" s="112"/>
      <c r="J64" s="112"/>
      <c r="K64" s="126"/>
    </row>
    <row r="65" spans="1:14" s="104" customFormat="1" ht="23.1" customHeight="1">
      <c r="A65" s="113"/>
      <c r="B65" s="118"/>
      <c r="C65" s="111"/>
      <c r="D65" s="110"/>
      <c r="E65" s="112"/>
      <c r="F65" s="112"/>
      <c r="G65" s="112"/>
      <c r="H65" s="112"/>
      <c r="I65" s="112"/>
      <c r="J65" s="112"/>
      <c r="K65" s="126"/>
    </row>
    <row r="66" spans="1:14" s="104" customFormat="1" ht="23.1" customHeight="1">
      <c r="A66" s="119"/>
      <c r="B66" s="115" t="s">
        <v>981</v>
      </c>
      <c r="C66" s="115"/>
      <c r="D66" s="116"/>
      <c r="E66" s="112"/>
      <c r="F66" s="115"/>
      <c r="G66" s="115"/>
      <c r="H66" s="115"/>
      <c r="I66" s="115"/>
      <c r="J66" s="115"/>
      <c r="K66" s="127"/>
    </row>
    <row r="67" spans="1:14" s="134" customFormat="1" ht="23.1" customHeight="1">
      <c r="A67" s="128" t="s">
        <v>978</v>
      </c>
      <c r="B67" s="129"/>
      <c r="C67" s="129"/>
      <c r="D67" s="130"/>
      <c r="E67" s="132">
        <f>E61</f>
        <v>6710</v>
      </c>
      <c r="F67" s="132"/>
      <c r="G67" s="132">
        <f>G61</f>
        <v>4076</v>
      </c>
      <c r="H67" s="132"/>
      <c r="I67" s="132">
        <f>I61</f>
        <v>2020</v>
      </c>
      <c r="J67" s="132"/>
      <c r="K67" s="133">
        <f>K61</f>
        <v>614</v>
      </c>
    </row>
    <row r="68" spans="1:14" ht="26.1" customHeight="1">
      <c r="A68" s="1837" t="s">
        <v>1384</v>
      </c>
      <c r="B68" s="1837"/>
      <c r="C68" s="1837"/>
      <c r="D68" s="1837"/>
      <c r="E68" s="1837"/>
      <c r="F68" s="1837"/>
      <c r="G68" s="1837"/>
      <c r="H68" s="1837"/>
      <c r="I68" s="1837"/>
      <c r="J68" s="1837"/>
      <c r="K68" s="1837"/>
    </row>
    <row r="69" spans="1:14" s="104" customFormat="1" ht="13.5" customHeight="1">
      <c r="A69" s="102"/>
      <c r="B69" s="102"/>
      <c r="C69" s="102"/>
      <c r="D69" s="103"/>
      <c r="E69" s="103"/>
      <c r="F69" s="102"/>
      <c r="G69" s="102"/>
      <c r="H69" s="102"/>
      <c r="I69" s="102"/>
      <c r="J69" s="102"/>
      <c r="K69" s="124" t="s">
        <v>977</v>
      </c>
    </row>
    <row r="70" spans="1:14" s="104" customFormat="1" ht="23.1" customHeight="1">
      <c r="A70" s="1838" t="s">
        <v>821</v>
      </c>
      <c r="B70" s="1835" t="s">
        <v>822</v>
      </c>
      <c r="C70" s="1835" t="s">
        <v>823</v>
      </c>
      <c r="D70" s="1835" t="s">
        <v>824</v>
      </c>
      <c r="E70" s="1833" t="s">
        <v>828</v>
      </c>
      <c r="F70" s="1835" t="s">
        <v>825</v>
      </c>
      <c r="G70" s="1835"/>
      <c r="H70" s="1835" t="s">
        <v>826</v>
      </c>
      <c r="I70" s="1835"/>
      <c r="J70" s="1835" t="s">
        <v>827</v>
      </c>
      <c r="K70" s="1840"/>
    </row>
    <row r="71" spans="1:14" s="105" customFormat="1" ht="23.1" customHeight="1">
      <c r="A71" s="1839"/>
      <c r="B71" s="1836"/>
      <c r="C71" s="1836"/>
      <c r="D71" s="1836"/>
      <c r="E71" s="1834"/>
      <c r="F71" s="398" t="s">
        <v>829</v>
      </c>
      <c r="G71" s="398" t="s">
        <v>830</v>
      </c>
      <c r="H71" s="398" t="s">
        <v>829</v>
      </c>
      <c r="I71" s="398" t="s">
        <v>830</v>
      </c>
      <c r="J71" s="398" t="s">
        <v>829</v>
      </c>
      <c r="K71" s="399" t="s">
        <v>830</v>
      </c>
    </row>
    <row r="72" spans="1:14" s="105" customFormat="1" ht="23.1" customHeight="1">
      <c r="A72" s="106" t="s">
        <v>850</v>
      </c>
      <c r="B72" s="107" t="s">
        <v>851</v>
      </c>
      <c r="C72" s="135">
        <f ca="1">'3.0수량표'!F28</f>
        <v>18</v>
      </c>
      <c r="D72" s="107" t="s">
        <v>831</v>
      </c>
      <c r="E72" s="109">
        <f t="shared" ref="E72:E88" si="4">G72+I72+K72</f>
        <v>2700</v>
      </c>
      <c r="F72" s="109">
        <f ca="1">'8.0자재단가'!$I$8</f>
        <v>150</v>
      </c>
      <c r="G72" s="109">
        <f>INT(C72*F72)</f>
        <v>2700</v>
      </c>
      <c r="H72" s="109"/>
      <c r="I72" s="109"/>
      <c r="J72" s="109"/>
      <c r="K72" s="125"/>
    </row>
    <row r="73" spans="1:14" s="104" customFormat="1" ht="23.1" customHeight="1">
      <c r="A73" s="106" t="s">
        <v>852</v>
      </c>
      <c r="B73" s="110" t="s">
        <v>832</v>
      </c>
      <c r="C73" s="135">
        <f ca="1">'3.0수량표'!F29</f>
        <v>4.4000000000000004</v>
      </c>
      <c r="D73" s="110" t="s">
        <v>858</v>
      </c>
      <c r="E73" s="112">
        <f t="shared" si="4"/>
        <v>748</v>
      </c>
      <c r="F73" s="112">
        <f ca="1">'8.0자재단가'!$I$9</f>
        <v>170</v>
      </c>
      <c r="G73" s="112">
        <f>INT(C73*F73)</f>
        <v>748</v>
      </c>
      <c r="H73" s="112"/>
      <c r="I73" s="112"/>
      <c r="J73" s="112"/>
      <c r="K73" s="126"/>
    </row>
    <row r="74" spans="1:14" s="104" customFormat="1" ht="23.1" customHeight="1">
      <c r="A74" s="113" t="s">
        <v>853</v>
      </c>
      <c r="B74" s="114" t="s">
        <v>855</v>
      </c>
      <c r="C74" s="135">
        <f ca="1">'3.0수량표'!F30</f>
        <v>0.8</v>
      </c>
      <c r="D74" s="110" t="s">
        <v>841</v>
      </c>
      <c r="E74" s="112">
        <f t="shared" si="4"/>
        <v>160</v>
      </c>
      <c r="F74" s="112">
        <f ca="1">'8.0자재단가'!$I$10</f>
        <v>200</v>
      </c>
      <c r="G74" s="112">
        <f>INT(C74*F74)</f>
        <v>160</v>
      </c>
      <c r="H74" s="112"/>
      <c r="I74" s="112"/>
      <c r="J74" s="112"/>
      <c r="K74" s="126"/>
      <c r="M74" s="123"/>
      <c r="N74" s="123"/>
    </row>
    <row r="75" spans="1:14" s="104" customFormat="1" ht="23.1" customHeight="1">
      <c r="A75" s="113" t="s">
        <v>854</v>
      </c>
      <c r="B75" s="110" t="s">
        <v>833</v>
      </c>
      <c r="C75" s="135">
        <f ca="1">'3.0수량표'!F31</f>
        <v>0.2</v>
      </c>
      <c r="D75" s="110" t="s">
        <v>859</v>
      </c>
      <c r="E75" s="112">
        <f t="shared" si="4"/>
        <v>200</v>
      </c>
      <c r="F75" s="112">
        <f ca="1">'8.0자재단가'!$I$11</f>
        <v>1000</v>
      </c>
      <c r="G75" s="112">
        <f>INT(C75*F75)</f>
        <v>200</v>
      </c>
      <c r="H75" s="112"/>
      <c r="I75" s="112"/>
      <c r="J75" s="112"/>
      <c r="K75" s="126"/>
    </row>
    <row r="76" spans="1:14" s="104" customFormat="1" ht="23.1" customHeight="1">
      <c r="A76" s="113" t="s">
        <v>856</v>
      </c>
      <c r="B76" s="110" t="s">
        <v>834</v>
      </c>
      <c r="C76" s="135">
        <f ca="1">'3.0수량표'!F32</f>
        <v>30</v>
      </c>
      <c r="D76" s="110" t="s">
        <v>857</v>
      </c>
      <c r="E76" s="112">
        <f t="shared" si="4"/>
        <v>2400</v>
      </c>
      <c r="F76" s="112">
        <f ca="1">'8.0자재단가'!$I$14</f>
        <v>80</v>
      </c>
      <c r="G76" s="112">
        <f>INT(C76*F76)</f>
        <v>2400</v>
      </c>
      <c r="H76" s="112"/>
      <c r="I76" s="112"/>
      <c r="J76" s="112"/>
      <c r="K76" s="126"/>
    </row>
    <row r="77" spans="1:14" s="104" customFormat="1" ht="23.1" customHeight="1">
      <c r="A77" s="113" t="s">
        <v>860</v>
      </c>
      <c r="B77" s="110" t="s">
        <v>979</v>
      </c>
      <c r="C77" s="135">
        <f ca="1">'3.0수량표'!F33</f>
        <v>2</v>
      </c>
      <c r="D77" s="110" t="s">
        <v>861</v>
      </c>
      <c r="E77" s="112">
        <f t="shared" si="4"/>
        <v>124</v>
      </c>
      <c r="F77" s="112">
        <f>SUM(G72:G76)</f>
        <v>6208</v>
      </c>
      <c r="G77" s="112">
        <f>INT(C77*F77/100)</f>
        <v>124</v>
      </c>
      <c r="H77" s="112"/>
      <c r="I77" s="112"/>
      <c r="J77" s="112"/>
      <c r="K77" s="126"/>
    </row>
    <row r="78" spans="1:14" s="104" customFormat="1" ht="23.1" customHeight="1">
      <c r="A78" s="117" t="s">
        <v>865</v>
      </c>
      <c r="B78" s="110" t="s">
        <v>880</v>
      </c>
      <c r="C78" s="158">
        <f ca="1">'3.0수량표'!F34</f>
        <v>1.4999999999999999E-2</v>
      </c>
      <c r="D78" s="110" t="s">
        <v>866</v>
      </c>
      <c r="E78" s="112">
        <f t="shared" si="4"/>
        <v>374</v>
      </c>
      <c r="F78" s="112">
        <f ca="1">'9.0중기목록'!$F$6</f>
        <v>0</v>
      </c>
      <c r="G78" s="112">
        <f t="shared" ref="G78:G83" si="5">INT(C78*F78)</f>
        <v>0</v>
      </c>
      <c r="H78" s="112">
        <f ca="1">'9.0중기목록'!$E$6</f>
        <v>0</v>
      </c>
      <c r="I78" s="112">
        <f t="shared" ref="I78:I87" si="6">INT(C78*H78)</f>
        <v>0</v>
      </c>
      <c r="J78" s="112">
        <f ca="1">'9.0중기목록'!$G$6</f>
        <v>24973</v>
      </c>
      <c r="K78" s="126">
        <f t="shared" ref="K78:K83" si="7">INT(C78*J78)</f>
        <v>374</v>
      </c>
    </row>
    <row r="79" spans="1:14" s="104" customFormat="1" ht="23.1" customHeight="1">
      <c r="A79" s="117" t="s">
        <v>835</v>
      </c>
      <c r="B79" s="110" t="s">
        <v>844</v>
      </c>
      <c r="C79" s="158">
        <f ca="1">'3.0수량표'!F35</f>
        <v>1.4999999999999999E-2</v>
      </c>
      <c r="D79" s="110" t="s">
        <v>862</v>
      </c>
      <c r="E79" s="112">
        <f t="shared" si="4"/>
        <v>820</v>
      </c>
      <c r="F79" s="112">
        <f ca="1">'9.0중기목록'!$F$8</f>
        <v>29577</v>
      </c>
      <c r="G79" s="112">
        <f t="shared" si="5"/>
        <v>443</v>
      </c>
      <c r="H79" s="112">
        <f ca="1">'9.0중기목록'!$E$8</f>
        <v>20561</v>
      </c>
      <c r="I79" s="112">
        <f t="shared" si="6"/>
        <v>308</v>
      </c>
      <c r="J79" s="112">
        <f ca="1">'9.0중기목록'!$G$8</f>
        <v>4656</v>
      </c>
      <c r="K79" s="126">
        <f t="shared" si="7"/>
        <v>69</v>
      </c>
    </row>
    <row r="80" spans="1:14" s="104" customFormat="1" ht="23.1" customHeight="1">
      <c r="A80" s="117" t="s">
        <v>845</v>
      </c>
      <c r="B80" s="110" t="s">
        <v>863</v>
      </c>
      <c r="C80" s="158">
        <f ca="1">'3.0수량표'!F36</f>
        <v>1.4999999999999999E-2</v>
      </c>
      <c r="D80" s="110" t="s">
        <v>843</v>
      </c>
      <c r="E80" s="112">
        <f t="shared" si="4"/>
        <v>641</v>
      </c>
      <c r="F80" s="112">
        <f ca="1">'9.0중기목록'!$F$10</f>
        <v>23409</v>
      </c>
      <c r="G80" s="112">
        <f t="shared" si="5"/>
        <v>351</v>
      </c>
      <c r="H80" s="112">
        <f ca="1">'9.0중기목록'!$E$10</f>
        <v>14915</v>
      </c>
      <c r="I80" s="112">
        <f t="shared" si="6"/>
        <v>223</v>
      </c>
      <c r="J80" s="112">
        <f ca="1">'9.0중기목록'!$G$10</f>
        <v>4533</v>
      </c>
      <c r="K80" s="126">
        <f t="shared" si="7"/>
        <v>67</v>
      </c>
    </row>
    <row r="81" spans="1:11" s="104" customFormat="1" ht="23.1" customHeight="1">
      <c r="A81" s="121" t="s">
        <v>864</v>
      </c>
      <c r="B81" s="110" t="s">
        <v>868</v>
      </c>
      <c r="C81" s="158">
        <f ca="1">'3.0수량표'!F37</f>
        <v>0.02</v>
      </c>
      <c r="D81" s="110" t="s">
        <v>843</v>
      </c>
      <c r="E81" s="112">
        <f t="shared" si="4"/>
        <v>692</v>
      </c>
      <c r="F81" s="112">
        <f ca="1">'9.0중기목록'!$F$12</f>
        <v>6640</v>
      </c>
      <c r="G81" s="112">
        <f t="shared" si="5"/>
        <v>132</v>
      </c>
      <c r="H81" s="112">
        <f ca="1">'9.0중기목록'!$E$12</f>
        <v>17696</v>
      </c>
      <c r="I81" s="112">
        <f t="shared" si="6"/>
        <v>353</v>
      </c>
      <c r="J81" s="112">
        <f ca="1">'9.0중기목록'!$G$12</f>
        <v>10362</v>
      </c>
      <c r="K81" s="126">
        <f t="shared" si="7"/>
        <v>207</v>
      </c>
    </row>
    <row r="82" spans="1:11" s="104" customFormat="1" ht="23.1" customHeight="1">
      <c r="A82" s="113" t="s">
        <v>846</v>
      </c>
      <c r="B82" s="110" t="s">
        <v>847</v>
      </c>
      <c r="C82" s="158">
        <f ca="1">'3.0수량표'!F38</f>
        <v>1.4999999999999999E-2</v>
      </c>
      <c r="D82" s="110" t="s">
        <v>843</v>
      </c>
      <c r="E82" s="112">
        <f t="shared" si="4"/>
        <v>578</v>
      </c>
      <c r="F82" s="112">
        <f ca="1">'9.0중기목록'!$F$14</f>
        <v>13117</v>
      </c>
      <c r="G82" s="112">
        <f t="shared" si="5"/>
        <v>196</v>
      </c>
      <c r="H82" s="112">
        <f ca="1">'9.0중기목록'!$E$14</f>
        <v>17696</v>
      </c>
      <c r="I82" s="112">
        <f t="shared" si="6"/>
        <v>265</v>
      </c>
      <c r="J82" s="112">
        <f ca="1">'9.0중기목록'!$G$14</f>
        <v>7823</v>
      </c>
      <c r="K82" s="126">
        <f t="shared" si="7"/>
        <v>117</v>
      </c>
    </row>
    <row r="83" spans="1:11" s="104" customFormat="1" ht="23.1" customHeight="1">
      <c r="A83" s="117" t="s">
        <v>836</v>
      </c>
      <c r="B83" s="110" t="s">
        <v>867</v>
      </c>
      <c r="C83" s="158">
        <f ca="1">'3.0수량표'!F39</f>
        <v>1.4999999999999999E-2</v>
      </c>
      <c r="D83" s="110" t="s">
        <v>843</v>
      </c>
      <c r="E83" s="112">
        <f t="shared" si="4"/>
        <v>535</v>
      </c>
      <c r="F83" s="112">
        <f ca="1">'9.0중기목록'!$F$16</f>
        <v>11978</v>
      </c>
      <c r="G83" s="112">
        <f t="shared" si="5"/>
        <v>179</v>
      </c>
      <c r="H83" s="112">
        <f ca="1">'9.0중기목록'!$E$16</f>
        <v>17696</v>
      </c>
      <c r="I83" s="112">
        <f t="shared" si="6"/>
        <v>265</v>
      </c>
      <c r="J83" s="112">
        <f ca="1">'9.0중기목록'!$G$16</f>
        <v>6117</v>
      </c>
      <c r="K83" s="126">
        <f t="shared" si="7"/>
        <v>91</v>
      </c>
    </row>
    <row r="84" spans="1:11" s="104" customFormat="1" ht="23.1" customHeight="1">
      <c r="A84" s="113" t="s">
        <v>837</v>
      </c>
      <c r="B84" s="110"/>
      <c r="C84" s="158">
        <f ca="1">'3.0수량표'!F40</f>
        <v>2E-3</v>
      </c>
      <c r="D84" s="110" t="s">
        <v>964</v>
      </c>
      <c r="E84" s="112">
        <f t="shared" si="4"/>
        <v>184</v>
      </c>
      <c r="F84" s="112"/>
      <c r="G84" s="112"/>
      <c r="H84" s="112">
        <f ca="1">'11.0시중노임'!$F$4</f>
        <v>92218</v>
      </c>
      <c r="I84" s="112">
        <f t="shared" si="6"/>
        <v>184</v>
      </c>
      <c r="J84" s="112"/>
      <c r="K84" s="126"/>
    </row>
    <row r="85" spans="1:11" s="104" customFormat="1" ht="23.1" customHeight="1">
      <c r="A85" s="113" t="s">
        <v>838</v>
      </c>
      <c r="B85" s="110"/>
      <c r="C85" s="158">
        <f ca="1">'3.0수량표'!F41</f>
        <v>1.0999999999999999E-2</v>
      </c>
      <c r="D85" s="110" t="s">
        <v>964</v>
      </c>
      <c r="E85" s="112">
        <f t="shared" si="4"/>
        <v>928</v>
      </c>
      <c r="F85" s="112"/>
      <c r="G85" s="112"/>
      <c r="H85" s="112">
        <f ca="1">'11.0시중노임'!$F$5</f>
        <v>84404</v>
      </c>
      <c r="I85" s="112">
        <f t="shared" si="6"/>
        <v>928</v>
      </c>
      <c r="J85" s="112"/>
      <c r="K85" s="126"/>
    </row>
    <row r="86" spans="1:11" s="104" customFormat="1" ht="23.1" customHeight="1">
      <c r="A86" s="113" t="s">
        <v>848</v>
      </c>
      <c r="B86" s="110"/>
      <c r="C86" s="158">
        <f ca="1">'3.0수량표'!F42</f>
        <v>2E-3</v>
      </c>
      <c r="D86" s="110" t="s">
        <v>964</v>
      </c>
      <c r="E86" s="112">
        <f t="shared" si="4"/>
        <v>173</v>
      </c>
      <c r="F86" s="112"/>
      <c r="G86" s="112"/>
      <c r="H86" s="112">
        <f ca="1">'11.0시중노임'!$F$12</f>
        <v>86521</v>
      </c>
      <c r="I86" s="112">
        <f t="shared" si="6"/>
        <v>173</v>
      </c>
      <c r="J86" s="112"/>
      <c r="K86" s="126"/>
    </row>
    <row r="87" spans="1:11" s="104" customFormat="1" ht="23.1" customHeight="1">
      <c r="A87" s="113" t="s">
        <v>839</v>
      </c>
      <c r="B87" s="110"/>
      <c r="C87" s="158">
        <f ca="1">'3.0수량표'!F43</f>
        <v>2.1999999999999999E-2</v>
      </c>
      <c r="D87" s="110" t="s">
        <v>964</v>
      </c>
      <c r="E87" s="112">
        <f t="shared" si="4"/>
        <v>1517</v>
      </c>
      <c r="F87" s="112"/>
      <c r="G87" s="112"/>
      <c r="H87" s="112">
        <f ca="1">'11.0시중노임'!$F$6</f>
        <v>68965</v>
      </c>
      <c r="I87" s="112">
        <f t="shared" si="6"/>
        <v>1517</v>
      </c>
      <c r="J87" s="112"/>
      <c r="K87" s="126"/>
    </row>
    <row r="88" spans="1:11" s="104" customFormat="1" ht="23.1" customHeight="1">
      <c r="A88" s="113" t="s">
        <v>840</v>
      </c>
      <c r="B88" s="110" t="s">
        <v>980</v>
      </c>
      <c r="C88" s="135">
        <f ca="1">'3.0수량표'!D44</f>
        <v>2</v>
      </c>
      <c r="D88" s="110" t="s">
        <v>965</v>
      </c>
      <c r="E88" s="112">
        <f t="shared" si="4"/>
        <v>56</v>
      </c>
      <c r="F88" s="112"/>
      <c r="G88" s="112"/>
      <c r="H88" s="112"/>
      <c r="I88" s="112"/>
      <c r="J88" s="112">
        <f>SUM(I84:I87)</f>
        <v>2802</v>
      </c>
      <c r="K88" s="126">
        <f>INT(C88*J88/100)</f>
        <v>56</v>
      </c>
    </row>
    <row r="89" spans="1:11" s="104" customFormat="1" ht="23.1" customHeight="1">
      <c r="A89" s="113"/>
      <c r="B89" s="110"/>
      <c r="C89" s="122"/>
      <c r="D89" s="110"/>
      <c r="E89" s="112"/>
      <c r="F89" s="112"/>
      <c r="G89" s="112"/>
      <c r="H89" s="112"/>
      <c r="I89" s="112"/>
      <c r="J89" s="112"/>
      <c r="K89" s="126"/>
    </row>
    <row r="90" spans="1:11" s="104" customFormat="1" ht="23.1" customHeight="1">
      <c r="A90" s="113" t="s">
        <v>849</v>
      </c>
      <c r="B90" s="110"/>
      <c r="C90" s="111"/>
      <c r="D90" s="110"/>
      <c r="E90" s="112">
        <f>G90+I90+K90</f>
        <v>12830</v>
      </c>
      <c r="F90" s="112"/>
      <c r="G90" s="112">
        <f>SUM(G72:G89)</f>
        <v>7633</v>
      </c>
      <c r="H90" s="112"/>
      <c r="I90" s="112">
        <f>SUM(I72:I89)</f>
        <v>4216</v>
      </c>
      <c r="J90" s="112"/>
      <c r="K90" s="126">
        <f>SUM(K72:K89)</f>
        <v>981</v>
      </c>
    </row>
    <row r="91" spans="1:11" s="104" customFormat="1" ht="23.1" customHeight="1">
      <c r="A91" s="113"/>
      <c r="B91" s="110"/>
      <c r="C91" s="111"/>
      <c r="D91" s="110"/>
      <c r="E91" s="112"/>
      <c r="F91" s="112"/>
      <c r="G91" s="112"/>
      <c r="H91" s="112"/>
      <c r="I91" s="112"/>
      <c r="J91" s="112"/>
      <c r="K91" s="126"/>
    </row>
    <row r="92" spans="1:11" s="104" customFormat="1" ht="23.1" customHeight="1">
      <c r="A92" s="113"/>
      <c r="B92" s="118"/>
      <c r="C92" s="111"/>
      <c r="D92" s="110"/>
      <c r="E92" s="112"/>
      <c r="F92" s="112"/>
      <c r="G92" s="112"/>
      <c r="H92" s="112"/>
      <c r="I92" s="112"/>
      <c r="J92" s="112"/>
      <c r="K92" s="126"/>
    </row>
    <row r="93" spans="1:11" s="104" customFormat="1" ht="23.1" customHeight="1">
      <c r="A93" s="113"/>
      <c r="B93" s="118"/>
      <c r="C93" s="111"/>
      <c r="D93" s="110"/>
      <c r="E93" s="112"/>
      <c r="F93" s="112"/>
      <c r="G93" s="112"/>
      <c r="H93" s="112"/>
      <c r="I93" s="112"/>
      <c r="J93" s="112"/>
      <c r="K93" s="126"/>
    </row>
    <row r="94" spans="1:11" s="104" customFormat="1" ht="23.1" customHeight="1">
      <c r="A94" s="113"/>
      <c r="B94" s="118"/>
      <c r="C94" s="111"/>
      <c r="D94" s="110"/>
      <c r="E94" s="112"/>
      <c r="F94" s="112"/>
      <c r="G94" s="112"/>
      <c r="H94" s="112"/>
      <c r="I94" s="112"/>
      <c r="J94" s="112"/>
      <c r="K94" s="126"/>
    </row>
    <row r="95" spans="1:11" s="104" customFormat="1" ht="23.1" customHeight="1">
      <c r="A95" s="113"/>
      <c r="B95" s="118"/>
      <c r="C95" s="111"/>
      <c r="D95" s="110"/>
      <c r="E95" s="112"/>
      <c r="F95" s="112"/>
      <c r="G95" s="112"/>
      <c r="H95" s="112"/>
      <c r="I95" s="112"/>
      <c r="J95" s="112"/>
      <c r="K95" s="126"/>
    </row>
    <row r="96" spans="1:11" s="104" customFormat="1" ht="23.1" customHeight="1">
      <c r="A96" s="119"/>
      <c r="B96" s="115" t="s">
        <v>981</v>
      </c>
      <c r="C96" s="115"/>
      <c r="D96" s="116"/>
      <c r="E96" s="112"/>
      <c r="F96" s="115"/>
      <c r="G96" s="115"/>
      <c r="H96" s="115"/>
      <c r="I96" s="115"/>
      <c r="J96" s="115"/>
      <c r="K96" s="127"/>
    </row>
    <row r="97" spans="1:11" s="134" customFormat="1" ht="23.1" customHeight="1">
      <c r="A97" s="128" t="s">
        <v>978</v>
      </c>
      <c r="B97" s="129"/>
      <c r="C97" s="129"/>
      <c r="D97" s="130"/>
      <c r="E97" s="132">
        <f>E90</f>
        <v>12830</v>
      </c>
      <c r="F97" s="132"/>
      <c r="G97" s="132">
        <f>G90</f>
        <v>7633</v>
      </c>
      <c r="H97" s="132"/>
      <c r="I97" s="132">
        <f>I90</f>
        <v>4216</v>
      </c>
      <c r="J97" s="132"/>
      <c r="K97" s="133">
        <f>K90</f>
        <v>981</v>
      </c>
    </row>
  </sheetData>
  <mergeCells count="32">
    <mergeCell ref="D18:E18"/>
    <mergeCell ref="D21:E21"/>
    <mergeCell ref="A39:K39"/>
    <mergeCell ref="D26:E26"/>
    <mergeCell ref="A38:K38"/>
    <mergeCell ref="C16:C17"/>
    <mergeCell ref="D22:E22"/>
    <mergeCell ref="D23:E23"/>
    <mergeCell ref="F16:I16"/>
    <mergeCell ref="D16:E17"/>
    <mergeCell ref="D20:E20"/>
    <mergeCell ref="D19:E19"/>
    <mergeCell ref="B70:B71"/>
    <mergeCell ref="C70:C71"/>
    <mergeCell ref="D70:D71"/>
    <mergeCell ref="J16:J17"/>
    <mergeCell ref="F70:G70"/>
    <mergeCell ref="H70:I70"/>
    <mergeCell ref="D41:D42"/>
    <mergeCell ref="J70:K70"/>
    <mergeCell ref="J41:K41"/>
    <mergeCell ref="D24:E24"/>
    <mergeCell ref="E70:E71"/>
    <mergeCell ref="E41:E42"/>
    <mergeCell ref="H41:I41"/>
    <mergeCell ref="C41:C42"/>
    <mergeCell ref="D25:E25"/>
    <mergeCell ref="A68:K68"/>
    <mergeCell ref="F41:G41"/>
    <mergeCell ref="A41:A42"/>
    <mergeCell ref="B41:B42"/>
    <mergeCell ref="A70:A71"/>
  </mergeCells>
  <phoneticPr fontId="3" type="noConversion"/>
  <printOptions horizontalCentered="1"/>
  <pageMargins left="0.55118110236220474" right="0.6692913385826772" top="0.98425196850393704" bottom="0.98425196850393704" header="0.51181102362204722" footer="0.51181102362204722"/>
  <pageSetup paperSize="9" orientation="portrait" horizontalDpi="4294967295" verticalDpi="300" r:id="rId1"/>
  <headerFooter alignWithMargins="0">
    <oddFooter>&amp;R&amp;10자연생태복원(JSB)공법
J S B 건 설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>
  <dimension ref="A1:N107"/>
  <sheetViews>
    <sheetView zoomScaleSheetLayoutView="90" workbookViewId="0">
      <selection activeCell="P6" sqref="P6"/>
    </sheetView>
  </sheetViews>
  <sheetFormatPr defaultRowHeight="13.5"/>
  <cols>
    <col min="1" max="1" width="10.77734375" style="219" customWidth="1"/>
    <col min="2" max="2" width="9.77734375" style="219" customWidth="1"/>
    <col min="3" max="3" width="4.77734375" style="219" customWidth="1"/>
    <col min="4" max="4" width="4.33203125" style="267" customWidth="1"/>
    <col min="5" max="5" width="7.33203125" style="267" customWidth="1"/>
    <col min="6" max="11" width="6.33203125" style="219" customWidth="1"/>
    <col min="12" max="16384" width="8.88671875" style="219"/>
  </cols>
  <sheetData>
    <row r="1" spans="1:14" ht="26.1" customHeight="1">
      <c r="A1" s="1837" t="s">
        <v>1385</v>
      </c>
      <c r="B1" s="1837"/>
      <c r="C1" s="1837"/>
      <c r="D1" s="1837"/>
      <c r="E1" s="1837"/>
      <c r="F1" s="1837"/>
      <c r="G1" s="1837"/>
      <c r="H1" s="1837"/>
      <c r="I1" s="1837"/>
      <c r="J1" s="1837"/>
      <c r="K1" s="1837"/>
    </row>
    <row r="2" spans="1:14" s="223" customFormat="1" ht="13.5" customHeight="1">
      <c r="A2" s="220"/>
      <c r="B2" s="220"/>
      <c r="C2" s="220"/>
      <c r="D2" s="221"/>
      <c r="E2" s="221"/>
      <c r="F2" s="220"/>
      <c r="G2" s="220"/>
      <c r="H2" s="220"/>
      <c r="I2" s="220"/>
      <c r="J2" s="220"/>
      <c r="K2" s="222" t="s">
        <v>977</v>
      </c>
    </row>
    <row r="3" spans="1:14" s="223" customFormat="1" ht="20.100000000000001" customHeight="1">
      <c r="A3" s="1856" t="s">
        <v>821</v>
      </c>
      <c r="B3" s="1858" t="s">
        <v>822</v>
      </c>
      <c r="C3" s="1858" t="s">
        <v>823</v>
      </c>
      <c r="D3" s="1858" t="s">
        <v>824</v>
      </c>
      <c r="E3" s="1851" t="s">
        <v>828</v>
      </c>
      <c r="F3" s="1858" t="s">
        <v>825</v>
      </c>
      <c r="G3" s="1858"/>
      <c r="H3" s="1858" t="s">
        <v>826</v>
      </c>
      <c r="I3" s="1858"/>
      <c r="J3" s="1858" t="s">
        <v>827</v>
      </c>
      <c r="K3" s="1860"/>
    </row>
    <row r="4" spans="1:14" s="224" customFormat="1" ht="20.100000000000001" customHeight="1">
      <c r="A4" s="1857"/>
      <c r="B4" s="1859"/>
      <c r="C4" s="1859"/>
      <c r="D4" s="1859"/>
      <c r="E4" s="1852"/>
      <c r="F4" s="481" t="s">
        <v>829</v>
      </c>
      <c r="G4" s="481" t="s">
        <v>830</v>
      </c>
      <c r="H4" s="481" t="s">
        <v>829</v>
      </c>
      <c r="I4" s="481" t="s">
        <v>830</v>
      </c>
      <c r="J4" s="481" t="s">
        <v>829</v>
      </c>
      <c r="K4" s="482" t="s">
        <v>830</v>
      </c>
    </row>
    <row r="5" spans="1:14" s="228" customFormat="1" ht="20.100000000000001" customHeight="1">
      <c r="A5" s="225" t="s">
        <v>881</v>
      </c>
      <c r="B5" s="226"/>
      <c r="C5" s="226"/>
      <c r="D5" s="226"/>
      <c r="E5" s="226"/>
      <c r="F5" s="226"/>
      <c r="G5" s="226"/>
      <c r="H5" s="226"/>
      <c r="I5" s="226"/>
      <c r="J5" s="226"/>
      <c r="K5" s="227"/>
    </row>
    <row r="6" spans="1:14" s="234" customFormat="1" ht="20.100000000000001" customHeight="1">
      <c r="A6" s="229" t="s">
        <v>882</v>
      </c>
      <c r="B6" s="230" t="s">
        <v>883</v>
      </c>
      <c r="C6" s="231">
        <f ca="1">'3.0수량표'!D16</f>
        <v>1.2</v>
      </c>
      <c r="D6" s="230" t="s">
        <v>869</v>
      </c>
      <c r="E6" s="232">
        <f>G6+I6+K6</f>
        <v>1800</v>
      </c>
      <c r="F6" s="230">
        <f ca="1">'8.0자재단가'!$I$18</f>
        <v>1500</v>
      </c>
      <c r="G6" s="232">
        <f>INT(C6*F6)</f>
        <v>1800</v>
      </c>
      <c r="H6" s="230"/>
      <c r="I6" s="230"/>
      <c r="J6" s="230"/>
      <c r="K6" s="233"/>
    </row>
    <row r="7" spans="1:14" s="234" customFormat="1" ht="20.100000000000001" customHeight="1">
      <c r="A7" s="229" t="s">
        <v>887</v>
      </c>
      <c r="B7" s="230" t="s">
        <v>1382</v>
      </c>
      <c r="C7" s="231">
        <f ca="1">'3.0수량표'!D17</f>
        <v>0.5</v>
      </c>
      <c r="D7" s="230" t="s">
        <v>869</v>
      </c>
      <c r="E7" s="232">
        <f>G7+I7+K7</f>
        <v>250</v>
      </c>
      <c r="F7" s="230">
        <f ca="1">'8.0자재단가'!$I$16</f>
        <v>500</v>
      </c>
      <c r="G7" s="232">
        <f>INT(C7*F7)</f>
        <v>250</v>
      </c>
      <c r="H7" s="230"/>
      <c r="I7" s="230"/>
      <c r="J7" s="230"/>
      <c r="K7" s="233"/>
    </row>
    <row r="8" spans="1:14" s="234" customFormat="1" ht="20.100000000000001" customHeight="1">
      <c r="A8" s="229" t="s">
        <v>837</v>
      </c>
      <c r="B8" s="230"/>
      <c r="C8" s="235">
        <f ca="1">'3.0수량표'!D18</f>
        <v>1E-3</v>
      </c>
      <c r="D8" s="230" t="s">
        <v>964</v>
      </c>
      <c r="E8" s="232">
        <f>G8+I8+K8</f>
        <v>92</v>
      </c>
      <c r="F8" s="232"/>
      <c r="G8" s="232"/>
      <c r="H8" s="232">
        <f ca="1">'11.0시중노임'!$F$4</f>
        <v>92218</v>
      </c>
      <c r="I8" s="232">
        <f>INT(C8*H8)</f>
        <v>92</v>
      </c>
      <c r="J8" s="232"/>
      <c r="K8" s="236"/>
    </row>
    <row r="9" spans="1:14" s="234" customFormat="1" ht="20.100000000000001" customHeight="1">
      <c r="A9" s="229" t="s">
        <v>838</v>
      </c>
      <c r="B9" s="230"/>
      <c r="C9" s="235">
        <f ca="1">'3.0수량표'!D19</f>
        <v>0.01</v>
      </c>
      <c r="D9" s="230" t="s">
        <v>964</v>
      </c>
      <c r="E9" s="232">
        <f>G9+I9+K9</f>
        <v>844</v>
      </c>
      <c r="F9" s="232"/>
      <c r="G9" s="232"/>
      <c r="H9" s="232">
        <f ca="1">'11.0시중노임'!$F$5</f>
        <v>84404</v>
      </c>
      <c r="I9" s="232">
        <f>INT(C9*H9)</f>
        <v>844</v>
      </c>
      <c r="J9" s="230"/>
      <c r="K9" s="233"/>
    </row>
    <row r="10" spans="1:14" s="234" customFormat="1" ht="20.100000000000001" customHeight="1">
      <c r="A10" s="229" t="s">
        <v>839</v>
      </c>
      <c r="B10" s="230"/>
      <c r="C10" s="235">
        <f ca="1">'3.0수량표'!D20</f>
        <v>0.02</v>
      </c>
      <c r="D10" s="230" t="s">
        <v>964</v>
      </c>
      <c r="E10" s="232">
        <f>G10+I10+K10</f>
        <v>1379</v>
      </c>
      <c r="F10" s="232"/>
      <c r="G10" s="232"/>
      <c r="H10" s="232">
        <f ca="1">'11.0시중노임'!$F$6</f>
        <v>68965</v>
      </c>
      <c r="I10" s="232">
        <f>INT(C10*H10)</f>
        <v>1379</v>
      </c>
      <c r="J10" s="230"/>
      <c r="K10" s="233"/>
    </row>
    <row r="11" spans="1:14" s="241" customFormat="1" ht="20.100000000000001" customHeight="1">
      <c r="A11" s="237" t="s">
        <v>849</v>
      </c>
      <c r="B11" s="238"/>
      <c r="C11" s="238"/>
      <c r="D11" s="238"/>
      <c r="E11" s="239">
        <f>SUM(E6:E10)</f>
        <v>4365</v>
      </c>
      <c r="F11" s="238"/>
      <c r="G11" s="239">
        <f>SUM(G6:G10)</f>
        <v>2050</v>
      </c>
      <c r="H11" s="238"/>
      <c r="I11" s="239">
        <f>SUM(I6:I10)</f>
        <v>2315</v>
      </c>
      <c r="J11" s="238"/>
      <c r="K11" s="240"/>
    </row>
    <row r="12" spans="1:14" s="234" customFormat="1" ht="20.100000000000001" customHeight="1">
      <c r="A12" s="229"/>
      <c r="B12" s="230"/>
      <c r="C12" s="230"/>
      <c r="D12" s="230"/>
      <c r="E12" s="230"/>
      <c r="F12" s="230"/>
      <c r="G12" s="230"/>
      <c r="H12" s="230"/>
      <c r="I12" s="230"/>
      <c r="J12" s="230"/>
      <c r="K12" s="233"/>
    </row>
    <row r="13" spans="1:14" s="228" customFormat="1" ht="20.100000000000001" customHeight="1">
      <c r="A13" s="242" t="s">
        <v>1043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3"/>
    </row>
    <row r="14" spans="1:14" s="224" customFormat="1" ht="20.100000000000001" customHeight="1">
      <c r="A14" s="243" t="s">
        <v>850</v>
      </c>
      <c r="B14" s="244" t="s">
        <v>851</v>
      </c>
      <c r="C14" s="245">
        <f ca="1">'3.0수량표'!G28</f>
        <v>27</v>
      </c>
      <c r="D14" s="244" t="s">
        <v>831</v>
      </c>
      <c r="E14" s="232">
        <f t="shared" ref="E14:E30" si="0">G14+I14+K14</f>
        <v>4050</v>
      </c>
      <c r="F14" s="232">
        <f ca="1">'8.0자재단가'!$I$8</f>
        <v>150</v>
      </c>
      <c r="G14" s="232">
        <f>INT(C14*F14)</f>
        <v>4050</v>
      </c>
      <c r="H14" s="232"/>
      <c r="I14" s="232"/>
      <c r="J14" s="232"/>
      <c r="K14" s="236"/>
    </row>
    <row r="15" spans="1:14" s="223" customFormat="1" ht="20.100000000000001" customHeight="1">
      <c r="A15" s="246" t="s">
        <v>852</v>
      </c>
      <c r="B15" s="244" t="s">
        <v>832</v>
      </c>
      <c r="C15" s="245">
        <f ca="1">'3.0수량표'!G29</f>
        <v>6.6</v>
      </c>
      <c r="D15" s="244" t="s">
        <v>831</v>
      </c>
      <c r="E15" s="232">
        <f t="shared" si="0"/>
        <v>1122</v>
      </c>
      <c r="F15" s="232">
        <f ca="1">'8.0자재단가'!$I$9</f>
        <v>170</v>
      </c>
      <c r="G15" s="232">
        <f>INT(C15*F15)</f>
        <v>1122</v>
      </c>
      <c r="H15" s="232"/>
      <c r="I15" s="232"/>
      <c r="J15" s="232"/>
      <c r="K15" s="236"/>
    </row>
    <row r="16" spans="1:14" s="223" customFormat="1" ht="20.100000000000001" customHeight="1">
      <c r="A16" s="243" t="s">
        <v>853</v>
      </c>
      <c r="B16" s="247" t="s">
        <v>855</v>
      </c>
      <c r="C16" s="245">
        <f ca="1">'3.0수량표'!G30</f>
        <v>1.2</v>
      </c>
      <c r="D16" s="244" t="s">
        <v>811</v>
      </c>
      <c r="E16" s="232">
        <f t="shared" si="0"/>
        <v>240</v>
      </c>
      <c r="F16" s="232">
        <f ca="1">'8.0자재단가'!$I$10</f>
        <v>200</v>
      </c>
      <c r="G16" s="232">
        <f>INT(C16*F16)</f>
        <v>240</v>
      </c>
      <c r="H16" s="232"/>
      <c r="I16" s="232"/>
      <c r="J16" s="232"/>
      <c r="K16" s="236"/>
      <c r="M16" s="248"/>
      <c r="N16" s="248"/>
    </row>
    <row r="17" spans="1:13" s="223" customFormat="1" ht="20.100000000000001" customHeight="1">
      <c r="A17" s="243" t="s">
        <v>854</v>
      </c>
      <c r="B17" s="244" t="s">
        <v>833</v>
      </c>
      <c r="C17" s="245">
        <f ca="1">'3.0수량표'!G31</f>
        <v>0.3</v>
      </c>
      <c r="D17" s="244" t="s">
        <v>811</v>
      </c>
      <c r="E17" s="232">
        <f t="shared" si="0"/>
        <v>300</v>
      </c>
      <c r="F17" s="232">
        <f ca="1">'8.0자재단가'!$I$11</f>
        <v>1000</v>
      </c>
      <c r="G17" s="232">
        <f>INT(C17*F17)</f>
        <v>300</v>
      </c>
      <c r="H17" s="232"/>
      <c r="I17" s="232"/>
      <c r="J17" s="232"/>
      <c r="K17" s="236"/>
    </row>
    <row r="18" spans="1:13" s="223" customFormat="1" ht="20.100000000000001" customHeight="1">
      <c r="A18" s="243" t="s">
        <v>856</v>
      </c>
      <c r="B18" s="244" t="s">
        <v>834</v>
      </c>
      <c r="C18" s="245">
        <f ca="1">'3.0수량표'!G32</f>
        <v>30</v>
      </c>
      <c r="D18" s="244" t="s">
        <v>842</v>
      </c>
      <c r="E18" s="232">
        <f t="shared" si="0"/>
        <v>2400</v>
      </c>
      <c r="F18" s="232">
        <f ca="1">'8.0자재단가'!$I$14</f>
        <v>80</v>
      </c>
      <c r="G18" s="232">
        <f>INT(C18*F18)</f>
        <v>2400</v>
      </c>
      <c r="H18" s="232"/>
      <c r="I18" s="232"/>
      <c r="J18" s="232"/>
      <c r="K18" s="236"/>
    </row>
    <row r="19" spans="1:13" s="223" customFormat="1" ht="20.100000000000001" customHeight="1">
      <c r="A19" s="243" t="s">
        <v>884</v>
      </c>
      <c r="B19" s="244" t="s">
        <v>979</v>
      </c>
      <c r="C19" s="245">
        <f ca="1">'3.0수량표'!G33</f>
        <v>2</v>
      </c>
      <c r="D19" s="244" t="s">
        <v>965</v>
      </c>
      <c r="E19" s="232">
        <f t="shared" si="0"/>
        <v>162</v>
      </c>
      <c r="F19" s="232">
        <f>SUM(G14:G18)</f>
        <v>8112</v>
      </c>
      <c r="G19" s="232">
        <f>INT(C19*F19/100)</f>
        <v>162</v>
      </c>
      <c r="H19" s="232"/>
      <c r="I19" s="232"/>
      <c r="J19" s="232"/>
      <c r="K19" s="236"/>
      <c r="M19" s="249"/>
    </row>
    <row r="20" spans="1:13" s="223" customFormat="1" ht="20.100000000000001" customHeight="1">
      <c r="A20" s="250" t="s">
        <v>906</v>
      </c>
      <c r="B20" s="244" t="s">
        <v>876</v>
      </c>
      <c r="C20" s="251">
        <f ca="1">'3.0수량표'!G34</f>
        <v>0.02</v>
      </c>
      <c r="D20" s="244" t="s">
        <v>843</v>
      </c>
      <c r="E20" s="232">
        <f t="shared" si="0"/>
        <v>499</v>
      </c>
      <c r="F20" s="232">
        <f ca="1">'9.0중기목록'!$F$6</f>
        <v>0</v>
      </c>
      <c r="G20" s="232">
        <f t="shared" ref="G20:G25" si="1">INT(C20*F20)</f>
        <v>0</v>
      </c>
      <c r="H20" s="232">
        <f ca="1">'9.0중기목록'!$E$6</f>
        <v>0</v>
      </c>
      <c r="I20" s="232">
        <f t="shared" ref="I20:I29" si="2">INT(C20*H20)</f>
        <v>0</v>
      </c>
      <c r="J20" s="232">
        <f ca="1">'9.0중기목록'!$G$6</f>
        <v>24973</v>
      </c>
      <c r="K20" s="236">
        <f t="shared" ref="K20:K25" si="3">INT(C20*J20)</f>
        <v>499</v>
      </c>
    </row>
    <row r="21" spans="1:13" s="223" customFormat="1" ht="20.100000000000001" customHeight="1">
      <c r="A21" s="250" t="s">
        <v>835</v>
      </c>
      <c r="B21" s="244" t="s">
        <v>844</v>
      </c>
      <c r="C21" s="251">
        <f ca="1">'3.0수량표'!G35</f>
        <v>0.02</v>
      </c>
      <c r="D21" s="244" t="s">
        <v>843</v>
      </c>
      <c r="E21" s="232">
        <f t="shared" si="0"/>
        <v>1095</v>
      </c>
      <c r="F21" s="232">
        <f ca="1">'9.0중기목록'!$F$8</f>
        <v>29577</v>
      </c>
      <c r="G21" s="232">
        <f t="shared" si="1"/>
        <v>591</v>
      </c>
      <c r="H21" s="232">
        <f ca="1">'9.0중기목록'!$E$8</f>
        <v>20561</v>
      </c>
      <c r="I21" s="232">
        <f t="shared" si="2"/>
        <v>411</v>
      </c>
      <c r="J21" s="232">
        <f ca="1">'9.0중기목록'!$G$8</f>
        <v>4656</v>
      </c>
      <c r="K21" s="236">
        <f t="shared" si="3"/>
        <v>93</v>
      </c>
    </row>
    <row r="22" spans="1:13" s="223" customFormat="1" ht="20.100000000000001" customHeight="1">
      <c r="A22" s="250" t="s">
        <v>845</v>
      </c>
      <c r="B22" s="244" t="s">
        <v>863</v>
      </c>
      <c r="C22" s="251">
        <f ca="1">'3.0수량표'!G36</f>
        <v>0.02</v>
      </c>
      <c r="D22" s="244" t="s">
        <v>843</v>
      </c>
      <c r="E22" s="232">
        <f t="shared" si="0"/>
        <v>856</v>
      </c>
      <c r="F22" s="232">
        <f ca="1">'9.0중기목록'!$F$10</f>
        <v>23409</v>
      </c>
      <c r="G22" s="232">
        <f t="shared" si="1"/>
        <v>468</v>
      </c>
      <c r="H22" s="232">
        <f ca="1">'9.0중기목록'!$E$10</f>
        <v>14915</v>
      </c>
      <c r="I22" s="232">
        <f t="shared" si="2"/>
        <v>298</v>
      </c>
      <c r="J22" s="232">
        <f ca="1">'9.0중기목록'!$G$10</f>
        <v>4533</v>
      </c>
      <c r="K22" s="236">
        <f t="shared" si="3"/>
        <v>90</v>
      </c>
    </row>
    <row r="23" spans="1:13" s="223" customFormat="1" ht="20.100000000000001" customHeight="1">
      <c r="A23" s="252" t="s">
        <v>885</v>
      </c>
      <c r="B23" s="244" t="s">
        <v>868</v>
      </c>
      <c r="C23" s="251">
        <f ca="1">'3.0수량표'!G37</f>
        <v>2.5000000000000001E-2</v>
      </c>
      <c r="D23" s="244" t="s">
        <v>843</v>
      </c>
      <c r="E23" s="232">
        <f t="shared" si="0"/>
        <v>867</v>
      </c>
      <c r="F23" s="232">
        <f ca="1">'9.0중기목록'!$F$12</f>
        <v>6640</v>
      </c>
      <c r="G23" s="232">
        <f t="shared" si="1"/>
        <v>166</v>
      </c>
      <c r="H23" s="232">
        <f ca="1">'9.0중기목록'!$E$12</f>
        <v>17696</v>
      </c>
      <c r="I23" s="232">
        <f t="shared" si="2"/>
        <v>442</v>
      </c>
      <c r="J23" s="232">
        <f ca="1">'9.0중기목록'!$G$12</f>
        <v>10362</v>
      </c>
      <c r="K23" s="236">
        <f t="shared" si="3"/>
        <v>259</v>
      </c>
    </row>
    <row r="24" spans="1:13" s="223" customFormat="1" ht="20.100000000000001" customHeight="1">
      <c r="A24" s="243" t="s">
        <v>846</v>
      </c>
      <c r="B24" s="244" t="s">
        <v>847</v>
      </c>
      <c r="C24" s="251">
        <f ca="1">'3.0수량표'!G38</f>
        <v>0.02</v>
      </c>
      <c r="D24" s="244" t="s">
        <v>843</v>
      </c>
      <c r="E24" s="232">
        <f t="shared" si="0"/>
        <v>771</v>
      </c>
      <c r="F24" s="232">
        <f ca="1">'9.0중기목록'!$F$14</f>
        <v>13117</v>
      </c>
      <c r="G24" s="232">
        <f t="shared" si="1"/>
        <v>262</v>
      </c>
      <c r="H24" s="232">
        <f ca="1">'9.0중기목록'!$E$14</f>
        <v>17696</v>
      </c>
      <c r="I24" s="232">
        <f t="shared" si="2"/>
        <v>353</v>
      </c>
      <c r="J24" s="232">
        <f ca="1">'9.0중기목록'!$G$14</f>
        <v>7823</v>
      </c>
      <c r="K24" s="236">
        <f t="shared" si="3"/>
        <v>156</v>
      </c>
    </row>
    <row r="25" spans="1:13" s="223" customFormat="1" ht="20.100000000000001" customHeight="1">
      <c r="A25" s="250" t="s">
        <v>836</v>
      </c>
      <c r="B25" s="244" t="s">
        <v>867</v>
      </c>
      <c r="C25" s="251">
        <f ca="1">'3.0수량표'!G39</f>
        <v>0.02</v>
      </c>
      <c r="D25" s="244" t="s">
        <v>843</v>
      </c>
      <c r="E25" s="232">
        <f t="shared" si="0"/>
        <v>714</v>
      </c>
      <c r="F25" s="232">
        <f ca="1">'9.0중기목록'!$F$16</f>
        <v>11978</v>
      </c>
      <c r="G25" s="232">
        <f t="shared" si="1"/>
        <v>239</v>
      </c>
      <c r="H25" s="232">
        <f ca="1">'9.0중기목록'!$E$16</f>
        <v>17696</v>
      </c>
      <c r="I25" s="232">
        <f t="shared" si="2"/>
        <v>353</v>
      </c>
      <c r="J25" s="232">
        <f ca="1">'9.0중기목록'!$G$16</f>
        <v>6117</v>
      </c>
      <c r="K25" s="236">
        <f t="shared" si="3"/>
        <v>122</v>
      </c>
      <c r="M25" s="249"/>
    </row>
    <row r="26" spans="1:13" s="223" customFormat="1" ht="20.100000000000001" customHeight="1">
      <c r="A26" s="243" t="s">
        <v>837</v>
      </c>
      <c r="B26" s="244"/>
      <c r="C26" s="251">
        <f ca="1">'3.0수량표'!G40</f>
        <v>3.0000000000000001E-3</v>
      </c>
      <c r="D26" s="244" t="s">
        <v>964</v>
      </c>
      <c r="E26" s="232">
        <f t="shared" si="0"/>
        <v>276</v>
      </c>
      <c r="F26" s="232"/>
      <c r="G26" s="232"/>
      <c r="H26" s="232">
        <f ca="1">'11.0시중노임'!$F$4</f>
        <v>92218</v>
      </c>
      <c r="I26" s="232">
        <f t="shared" si="2"/>
        <v>276</v>
      </c>
      <c r="J26" s="232"/>
      <c r="K26" s="236"/>
    </row>
    <row r="27" spans="1:13" s="223" customFormat="1" ht="20.100000000000001" customHeight="1">
      <c r="A27" s="243" t="s">
        <v>838</v>
      </c>
      <c r="B27" s="244"/>
      <c r="C27" s="251">
        <f ca="1">'3.0수량표'!G41</f>
        <v>1.6E-2</v>
      </c>
      <c r="D27" s="244" t="s">
        <v>964</v>
      </c>
      <c r="E27" s="232">
        <f t="shared" si="0"/>
        <v>1350</v>
      </c>
      <c r="F27" s="232"/>
      <c r="G27" s="232"/>
      <c r="H27" s="232">
        <f ca="1">'11.0시중노임'!$F$5</f>
        <v>84404</v>
      </c>
      <c r="I27" s="232">
        <f t="shared" si="2"/>
        <v>1350</v>
      </c>
      <c r="J27" s="232"/>
      <c r="K27" s="236"/>
    </row>
    <row r="28" spans="1:13" s="223" customFormat="1" ht="20.100000000000001" customHeight="1">
      <c r="A28" s="243" t="s">
        <v>848</v>
      </c>
      <c r="B28" s="244"/>
      <c r="C28" s="251">
        <f ca="1">'3.0수량표'!G42</f>
        <v>3.0000000000000001E-3</v>
      </c>
      <c r="D28" s="244" t="s">
        <v>964</v>
      </c>
      <c r="E28" s="232">
        <f t="shared" si="0"/>
        <v>259</v>
      </c>
      <c r="F28" s="232"/>
      <c r="G28" s="232"/>
      <c r="H28" s="232">
        <f ca="1">'11.0시중노임'!$F$12</f>
        <v>86521</v>
      </c>
      <c r="I28" s="232">
        <f t="shared" si="2"/>
        <v>259</v>
      </c>
      <c r="J28" s="232"/>
      <c r="K28" s="236"/>
    </row>
    <row r="29" spans="1:13" s="223" customFormat="1" ht="20.100000000000001" customHeight="1">
      <c r="A29" s="243" t="s">
        <v>839</v>
      </c>
      <c r="B29" s="244"/>
      <c r="C29" s="251">
        <f ca="1">'3.0수량표'!G43</f>
        <v>3.3000000000000002E-2</v>
      </c>
      <c r="D29" s="244" t="s">
        <v>964</v>
      </c>
      <c r="E29" s="232">
        <f t="shared" si="0"/>
        <v>2275</v>
      </c>
      <c r="F29" s="232"/>
      <c r="G29" s="232"/>
      <c r="H29" s="232">
        <f ca="1">'11.0시중노임'!$F$6</f>
        <v>68965</v>
      </c>
      <c r="I29" s="232">
        <f t="shared" si="2"/>
        <v>2275</v>
      </c>
      <c r="J29" s="232"/>
      <c r="K29" s="236"/>
      <c r="M29" s="249"/>
    </row>
    <row r="30" spans="1:13" s="223" customFormat="1" ht="20.100000000000001" customHeight="1">
      <c r="A30" s="243" t="s">
        <v>840</v>
      </c>
      <c r="B30" s="244" t="s">
        <v>980</v>
      </c>
      <c r="C30" s="245">
        <f ca="1">'3.0수량표'!D44</f>
        <v>2</v>
      </c>
      <c r="D30" s="244" t="s">
        <v>965</v>
      </c>
      <c r="E30" s="232">
        <f t="shared" si="0"/>
        <v>83</v>
      </c>
      <c r="F30" s="232"/>
      <c r="G30" s="232"/>
      <c r="H30" s="232"/>
      <c r="I30" s="232"/>
      <c r="J30" s="232">
        <f>SUM(I26:I29)</f>
        <v>4160</v>
      </c>
      <c r="K30" s="236">
        <f>INT(C30*J30/100)</f>
        <v>83</v>
      </c>
    </row>
    <row r="31" spans="1:13" s="223" customFormat="1" ht="20.100000000000001" customHeight="1">
      <c r="A31" s="243"/>
      <c r="B31" s="244"/>
      <c r="C31" s="245"/>
      <c r="D31" s="244"/>
      <c r="E31" s="232"/>
      <c r="F31" s="232"/>
      <c r="G31" s="232"/>
      <c r="H31" s="232"/>
      <c r="I31" s="232"/>
      <c r="J31" s="232"/>
      <c r="K31" s="236"/>
    </row>
    <row r="32" spans="1:13" s="223" customFormat="1" ht="20.100000000000001" customHeight="1">
      <c r="A32" s="243"/>
      <c r="B32" s="244"/>
      <c r="C32" s="251"/>
      <c r="D32" s="244"/>
      <c r="E32" s="232"/>
      <c r="F32" s="232"/>
      <c r="G32" s="232"/>
      <c r="H32" s="232"/>
      <c r="I32" s="232"/>
      <c r="J32" s="232"/>
      <c r="K32" s="236"/>
    </row>
    <row r="33" spans="1:11" s="257" customFormat="1" ht="20.100000000000001" customHeight="1">
      <c r="A33" s="237" t="s">
        <v>849</v>
      </c>
      <c r="B33" s="253"/>
      <c r="C33" s="254"/>
      <c r="D33" s="253"/>
      <c r="E33" s="255">
        <f>G33+I33+K33</f>
        <v>17319</v>
      </c>
      <c r="F33" s="255"/>
      <c r="G33" s="255">
        <f>SUM(G14:G32)</f>
        <v>10000</v>
      </c>
      <c r="H33" s="255"/>
      <c r="I33" s="255">
        <f>SUM(I14:I32)</f>
        <v>6017</v>
      </c>
      <c r="J33" s="255"/>
      <c r="K33" s="256">
        <f>SUM(K14:K32)</f>
        <v>1302</v>
      </c>
    </row>
    <row r="34" spans="1:11" s="223" customFormat="1" ht="20.100000000000001" customHeight="1">
      <c r="A34" s="258"/>
      <c r="B34" s="259" t="s">
        <v>981</v>
      </c>
      <c r="C34" s="259"/>
      <c r="D34" s="260"/>
      <c r="E34" s="232"/>
      <c r="F34" s="259"/>
      <c r="G34" s="259"/>
      <c r="H34" s="259"/>
      <c r="I34" s="259"/>
      <c r="J34" s="259"/>
      <c r="K34" s="261"/>
    </row>
    <row r="35" spans="1:11" s="257" customFormat="1" ht="20.100000000000001" customHeight="1">
      <c r="A35" s="262" t="s">
        <v>886</v>
      </c>
      <c r="B35" s="263"/>
      <c r="C35" s="263"/>
      <c r="D35" s="264"/>
      <c r="E35" s="265">
        <f>E33+E11</f>
        <v>21684</v>
      </c>
      <c r="F35" s="265"/>
      <c r="G35" s="265">
        <f>G33+G11</f>
        <v>12050</v>
      </c>
      <c r="H35" s="265"/>
      <c r="I35" s="265">
        <f>I33+I11</f>
        <v>8332</v>
      </c>
      <c r="J35" s="265"/>
      <c r="K35" s="266">
        <f>K33+K11</f>
        <v>1302</v>
      </c>
    </row>
    <row r="37" spans="1:11" ht="26.1" customHeight="1">
      <c r="A37" s="1837" t="s">
        <v>1386</v>
      </c>
      <c r="B37" s="1837"/>
      <c r="C37" s="1837"/>
      <c r="D37" s="1837"/>
      <c r="E37" s="1837"/>
      <c r="F37" s="1837"/>
      <c r="G37" s="1837"/>
      <c r="H37" s="1837"/>
      <c r="I37" s="1837"/>
      <c r="J37" s="1837"/>
      <c r="K37" s="1837"/>
    </row>
    <row r="38" spans="1:11" s="223" customFormat="1" ht="13.5" customHeight="1">
      <c r="A38" s="220"/>
      <c r="B38" s="220"/>
      <c r="C38" s="220"/>
      <c r="D38" s="221"/>
      <c r="E38" s="221"/>
      <c r="F38" s="220"/>
      <c r="G38" s="220"/>
      <c r="H38" s="220"/>
      <c r="I38" s="220"/>
      <c r="J38" s="220"/>
      <c r="K38" s="222" t="s">
        <v>977</v>
      </c>
    </row>
    <row r="39" spans="1:11" s="223" customFormat="1" ht="20.100000000000001" customHeight="1">
      <c r="A39" s="1856" t="s">
        <v>821</v>
      </c>
      <c r="B39" s="1858" t="s">
        <v>822</v>
      </c>
      <c r="C39" s="1858" t="s">
        <v>823</v>
      </c>
      <c r="D39" s="1858" t="s">
        <v>824</v>
      </c>
      <c r="E39" s="1851" t="s">
        <v>828</v>
      </c>
      <c r="F39" s="1858" t="s">
        <v>825</v>
      </c>
      <c r="G39" s="1858"/>
      <c r="H39" s="1858" t="s">
        <v>826</v>
      </c>
      <c r="I39" s="1858"/>
      <c r="J39" s="1858" t="s">
        <v>827</v>
      </c>
      <c r="K39" s="1860"/>
    </row>
    <row r="40" spans="1:11" s="224" customFormat="1" ht="20.100000000000001" customHeight="1">
      <c r="A40" s="1857"/>
      <c r="B40" s="1859"/>
      <c r="C40" s="1859"/>
      <c r="D40" s="1859"/>
      <c r="E40" s="1852"/>
      <c r="F40" s="481" t="s">
        <v>829</v>
      </c>
      <c r="G40" s="481" t="s">
        <v>830</v>
      </c>
      <c r="H40" s="481" t="s">
        <v>829</v>
      </c>
      <c r="I40" s="481" t="s">
        <v>830</v>
      </c>
      <c r="J40" s="481" t="s">
        <v>829</v>
      </c>
      <c r="K40" s="482" t="s">
        <v>830</v>
      </c>
    </row>
    <row r="41" spans="1:11" s="228" customFormat="1" ht="20.100000000000001" customHeight="1">
      <c r="A41" s="225" t="s">
        <v>881</v>
      </c>
      <c r="B41" s="226"/>
      <c r="C41" s="226"/>
      <c r="D41" s="226"/>
      <c r="E41" s="226"/>
      <c r="F41" s="226"/>
      <c r="G41" s="226"/>
      <c r="H41" s="226"/>
      <c r="I41" s="226"/>
      <c r="J41" s="226"/>
      <c r="K41" s="227"/>
    </row>
    <row r="42" spans="1:11" s="234" customFormat="1" ht="20.100000000000001" customHeight="1">
      <c r="A42" s="229" t="s">
        <v>882</v>
      </c>
      <c r="B42" s="230" t="s">
        <v>883</v>
      </c>
      <c r="C42" s="231">
        <f ca="1">'3.0수량표'!D16</f>
        <v>1.2</v>
      </c>
      <c r="D42" s="230" t="s">
        <v>869</v>
      </c>
      <c r="E42" s="232">
        <f>G42+I42+K42</f>
        <v>1800</v>
      </c>
      <c r="F42" s="230">
        <f ca="1">'8.0자재단가'!$I$18</f>
        <v>1500</v>
      </c>
      <c r="G42" s="232">
        <f>INT(C42*F42)</f>
        <v>1800</v>
      </c>
      <c r="H42" s="230"/>
      <c r="I42" s="230"/>
      <c r="J42" s="230"/>
      <c r="K42" s="233"/>
    </row>
    <row r="43" spans="1:11" s="234" customFormat="1" ht="20.100000000000001" customHeight="1">
      <c r="A43" s="229" t="s">
        <v>887</v>
      </c>
      <c r="B43" s="230" t="s">
        <v>1382</v>
      </c>
      <c r="C43" s="231">
        <f ca="1">'3.0수량표'!D17</f>
        <v>0.5</v>
      </c>
      <c r="D43" s="230" t="s">
        <v>869</v>
      </c>
      <c r="E43" s="232">
        <f>G43+I43+K43</f>
        <v>250</v>
      </c>
      <c r="F43" s="230">
        <f ca="1">'8.0자재단가'!$I$16</f>
        <v>500</v>
      </c>
      <c r="G43" s="232">
        <f>INT(C43*F43)</f>
        <v>250</v>
      </c>
      <c r="H43" s="230"/>
      <c r="I43" s="230"/>
      <c r="J43" s="230"/>
      <c r="K43" s="233"/>
    </row>
    <row r="44" spans="1:11" s="234" customFormat="1" ht="20.100000000000001" customHeight="1">
      <c r="A44" s="229" t="s">
        <v>837</v>
      </c>
      <c r="B44" s="230"/>
      <c r="C44" s="235">
        <f ca="1">'3.0수량표'!D18</f>
        <v>1E-3</v>
      </c>
      <c r="D44" s="230" t="s">
        <v>964</v>
      </c>
      <c r="E44" s="232">
        <f>G44+I44+K44</f>
        <v>92</v>
      </c>
      <c r="F44" s="232"/>
      <c r="G44" s="232"/>
      <c r="H44" s="232">
        <f ca="1">'11.0시중노임'!$F$4</f>
        <v>92218</v>
      </c>
      <c r="I44" s="232">
        <f>INT(C44*H44)</f>
        <v>92</v>
      </c>
      <c r="J44" s="232"/>
      <c r="K44" s="236"/>
    </row>
    <row r="45" spans="1:11" s="234" customFormat="1" ht="20.100000000000001" customHeight="1">
      <c r="A45" s="229" t="s">
        <v>838</v>
      </c>
      <c r="B45" s="230"/>
      <c r="C45" s="235">
        <f ca="1">'3.0수량표'!D19</f>
        <v>0.01</v>
      </c>
      <c r="D45" s="230" t="s">
        <v>964</v>
      </c>
      <c r="E45" s="232">
        <f>G45+I45+K45</f>
        <v>844</v>
      </c>
      <c r="F45" s="232"/>
      <c r="G45" s="232"/>
      <c r="H45" s="232">
        <f ca="1">'11.0시중노임'!$F$5</f>
        <v>84404</v>
      </c>
      <c r="I45" s="232">
        <f>INT(C45*H45)</f>
        <v>844</v>
      </c>
      <c r="J45" s="230"/>
      <c r="K45" s="233"/>
    </row>
    <row r="46" spans="1:11" s="234" customFormat="1" ht="20.100000000000001" customHeight="1">
      <c r="A46" s="229" t="s">
        <v>839</v>
      </c>
      <c r="B46" s="230"/>
      <c r="C46" s="235">
        <f ca="1">'3.0수량표'!D20</f>
        <v>0.02</v>
      </c>
      <c r="D46" s="230" t="s">
        <v>964</v>
      </c>
      <c r="E46" s="232">
        <f>G46+I46+K46</f>
        <v>1379</v>
      </c>
      <c r="F46" s="232"/>
      <c r="G46" s="232"/>
      <c r="H46" s="232">
        <f ca="1">'11.0시중노임'!$F$6</f>
        <v>68965</v>
      </c>
      <c r="I46" s="232">
        <f>INT(C46*H46)</f>
        <v>1379</v>
      </c>
      <c r="J46" s="230"/>
      <c r="K46" s="233"/>
    </row>
    <row r="47" spans="1:11" s="241" customFormat="1" ht="20.100000000000001" customHeight="1">
      <c r="A47" s="237" t="s">
        <v>849</v>
      </c>
      <c r="B47" s="238"/>
      <c r="C47" s="238"/>
      <c r="D47" s="238"/>
      <c r="E47" s="239">
        <f>SUM(E42:E46)</f>
        <v>4365</v>
      </c>
      <c r="F47" s="238"/>
      <c r="G47" s="239">
        <f>SUM(G42:G46)</f>
        <v>2050</v>
      </c>
      <c r="H47" s="238"/>
      <c r="I47" s="239">
        <f>SUM(I42:I46)</f>
        <v>2315</v>
      </c>
      <c r="J47" s="238"/>
      <c r="K47" s="240"/>
    </row>
    <row r="48" spans="1:11" s="234" customFormat="1" ht="20.100000000000001" customHeight="1">
      <c r="A48" s="229"/>
      <c r="B48" s="230"/>
      <c r="C48" s="230"/>
      <c r="D48" s="230"/>
      <c r="E48" s="230"/>
      <c r="F48" s="230"/>
      <c r="G48" s="230"/>
      <c r="H48" s="230"/>
      <c r="I48" s="230"/>
      <c r="J48" s="230"/>
      <c r="K48" s="233"/>
    </row>
    <row r="49" spans="1:14" s="228" customFormat="1" ht="20.100000000000001" customHeight="1">
      <c r="A49" s="242" t="s">
        <v>1043</v>
      </c>
      <c r="B49" s="230"/>
      <c r="C49" s="230"/>
      <c r="D49" s="230"/>
      <c r="E49" s="230"/>
      <c r="F49" s="230"/>
      <c r="G49" s="230"/>
      <c r="H49" s="230"/>
      <c r="I49" s="230"/>
      <c r="J49" s="230"/>
      <c r="K49" s="233"/>
    </row>
    <row r="50" spans="1:14" s="224" customFormat="1" ht="20.100000000000001" customHeight="1">
      <c r="A50" s="243" t="s">
        <v>850</v>
      </c>
      <c r="B50" s="244" t="s">
        <v>851</v>
      </c>
      <c r="C50" s="245">
        <f ca="1">'3.0수량표'!H28</f>
        <v>45</v>
      </c>
      <c r="D50" s="244" t="s">
        <v>831</v>
      </c>
      <c r="E50" s="232">
        <f t="shared" ref="E50:E66" si="4">G50+I50+K50</f>
        <v>6750</v>
      </c>
      <c r="F50" s="232">
        <f ca="1">'8.0자재단가'!$I$8</f>
        <v>150</v>
      </c>
      <c r="G50" s="232">
        <f>INT(C50*F50)</f>
        <v>6750</v>
      </c>
      <c r="H50" s="232"/>
      <c r="I50" s="232"/>
      <c r="J50" s="232"/>
      <c r="K50" s="236"/>
    </row>
    <row r="51" spans="1:14" s="223" customFormat="1" ht="20.100000000000001" customHeight="1">
      <c r="A51" s="246" t="s">
        <v>852</v>
      </c>
      <c r="B51" s="244" t="s">
        <v>832</v>
      </c>
      <c r="C51" s="245">
        <f ca="1">'3.0수량표'!H29</f>
        <v>10.999999999999998</v>
      </c>
      <c r="D51" s="244" t="s">
        <v>831</v>
      </c>
      <c r="E51" s="232">
        <f t="shared" si="4"/>
        <v>1870</v>
      </c>
      <c r="F51" s="232">
        <f ca="1">'8.0자재단가'!$I$9</f>
        <v>170</v>
      </c>
      <c r="G51" s="232">
        <f>INT(C51*F51)</f>
        <v>1870</v>
      </c>
      <c r="H51" s="232"/>
      <c r="I51" s="232"/>
      <c r="J51" s="232"/>
      <c r="K51" s="236"/>
    </row>
    <row r="52" spans="1:14" s="223" customFormat="1" ht="20.100000000000001" customHeight="1">
      <c r="A52" s="243" t="s">
        <v>853</v>
      </c>
      <c r="B52" s="247" t="s">
        <v>855</v>
      </c>
      <c r="C52" s="245">
        <f ca="1">'3.0수량표'!H30</f>
        <v>1.9999999999999998</v>
      </c>
      <c r="D52" s="244" t="s">
        <v>811</v>
      </c>
      <c r="E52" s="232">
        <f t="shared" si="4"/>
        <v>400</v>
      </c>
      <c r="F52" s="232">
        <f ca="1">'8.0자재단가'!$I$10</f>
        <v>200</v>
      </c>
      <c r="G52" s="232">
        <f>INT(C52*F52)</f>
        <v>400</v>
      </c>
      <c r="H52" s="232"/>
      <c r="I52" s="232"/>
      <c r="J52" s="232"/>
      <c r="K52" s="236"/>
      <c r="M52" s="248"/>
      <c r="N52" s="248"/>
    </row>
    <row r="53" spans="1:14" s="223" customFormat="1" ht="20.100000000000001" customHeight="1">
      <c r="A53" s="243" t="s">
        <v>854</v>
      </c>
      <c r="B53" s="244" t="s">
        <v>833</v>
      </c>
      <c r="C53" s="245">
        <f ca="1">'3.0수량표'!H31</f>
        <v>0.49999999999999994</v>
      </c>
      <c r="D53" s="244" t="s">
        <v>811</v>
      </c>
      <c r="E53" s="232">
        <f t="shared" si="4"/>
        <v>500</v>
      </c>
      <c r="F53" s="232">
        <f ca="1">'8.0자재단가'!$I$11</f>
        <v>1000</v>
      </c>
      <c r="G53" s="232">
        <f>INT(C53*F53)</f>
        <v>500</v>
      </c>
      <c r="H53" s="232"/>
      <c r="I53" s="232"/>
      <c r="J53" s="232"/>
      <c r="K53" s="236"/>
    </row>
    <row r="54" spans="1:14" s="223" customFormat="1" ht="20.100000000000001" customHeight="1">
      <c r="A54" s="243" t="s">
        <v>856</v>
      </c>
      <c r="B54" s="244" t="s">
        <v>834</v>
      </c>
      <c r="C54" s="245">
        <f ca="1">'3.0수량표'!H32</f>
        <v>30</v>
      </c>
      <c r="D54" s="244" t="s">
        <v>842</v>
      </c>
      <c r="E54" s="232">
        <f t="shared" si="4"/>
        <v>2400</v>
      </c>
      <c r="F54" s="232">
        <f ca="1">'8.0자재단가'!$I$14</f>
        <v>80</v>
      </c>
      <c r="G54" s="232">
        <f>INT(C54*F54)</f>
        <v>2400</v>
      </c>
      <c r="H54" s="232"/>
      <c r="I54" s="232"/>
      <c r="J54" s="232"/>
      <c r="K54" s="236"/>
    </row>
    <row r="55" spans="1:14" s="223" customFormat="1" ht="20.100000000000001" customHeight="1">
      <c r="A55" s="243" t="s">
        <v>884</v>
      </c>
      <c r="B55" s="244" t="s">
        <v>979</v>
      </c>
      <c r="C55" s="245">
        <f ca="1">'3.0수량표'!H33</f>
        <v>2</v>
      </c>
      <c r="D55" s="244" t="s">
        <v>965</v>
      </c>
      <c r="E55" s="232">
        <f t="shared" si="4"/>
        <v>238</v>
      </c>
      <c r="F55" s="232">
        <f>SUM(G50:G54)</f>
        <v>11920</v>
      </c>
      <c r="G55" s="232">
        <f>INT(C55*F55/100)</f>
        <v>238</v>
      </c>
      <c r="H55" s="232"/>
      <c r="I55" s="232"/>
      <c r="J55" s="232"/>
      <c r="K55" s="236"/>
      <c r="M55" s="249"/>
    </row>
    <row r="56" spans="1:14" s="223" customFormat="1" ht="20.100000000000001" customHeight="1">
      <c r="A56" s="250" t="s">
        <v>906</v>
      </c>
      <c r="B56" s="244" t="s">
        <v>876</v>
      </c>
      <c r="C56" s="251">
        <f ca="1">'3.0수량표'!H34</f>
        <v>0.03</v>
      </c>
      <c r="D56" s="244" t="s">
        <v>843</v>
      </c>
      <c r="E56" s="232">
        <f t="shared" si="4"/>
        <v>749</v>
      </c>
      <c r="F56" s="232">
        <f ca="1">'9.0중기목록'!$F$6</f>
        <v>0</v>
      </c>
      <c r="G56" s="232">
        <f t="shared" ref="G56:G61" si="5">INT(C56*F56)</f>
        <v>0</v>
      </c>
      <c r="H56" s="232">
        <f ca="1">'9.0중기목록'!$E$6</f>
        <v>0</v>
      </c>
      <c r="I56" s="232">
        <f t="shared" ref="I56:I65" si="6">INT(C56*H56)</f>
        <v>0</v>
      </c>
      <c r="J56" s="232">
        <f ca="1">'9.0중기목록'!$G$6</f>
        <v>24973</v>
      </c>
      <c r="K56" s="236">
        <f t="shared" ref="K56:K61" si="7">INT(C56*J56)</f>
        <v>749</v>
      </c>
    </row>
    <row r="57" spans="1:14" s="223" customFormat="1" ht="20.100000000000001" customHeight="1">
      <c r="A57" s="250" t="s">
        <v>835</v>
      </c>
      <c r="B57" s="244" t="s">
        <v>844</v>
      </c>
      <c r="C57" s="251">
        <f ca="1">'3.0수량표'!H35</f>
        <v>0.03</v>
      </c>
      <c r="D57" s="244" t="s">
        <v>843</v>
      </c>
      <c r="E57" s="232">
        <f t="shared" si="4"/>
        <v>1642</v>
      </c>
      <c r="F57" s="232">
        <f ca="1">'9.0중기목록'!$F$8</f>
        <v>29577</v>
      </c>
      <c r="G57" s="232">
        <f t="shared" si="5"/>
        <v>887</v>
      </c>
      <c r="H57" s="232">
        <f ca="1">'9.0중기목록'!$E$8</f>
        <v>20561</v>
      </c>
      <c r="I57" s="232">
        <f t="shared" si="6"/>
        <v>616</v>
      </c>
      <c r="J57" s="232">
        <f ca="1">'9.0중기목록'!$G$8</f>
        <v>4656</v>
      </c>
      <c r="K57" s="236">
        <f t="shared" si="7"/>
        <v>139</v>
      </c>
    </row>
    <row r="58" spans="1:14" s="223" customFormat="1" ht="20.100000000000001" customHeight="1">
      <c r="A58" s="250" t="s">
        <v>845</v>
      </c>
      <c r="B58" s="244" t="s">
        <v>863</v>
      </c>
      <c r="C58" s="251">
        <f ca="1">'3.0수량표'!H36</f>
        <v>0.03</v>
      </c>
      <c r="D58" s="244" t="s">
        <v>843</v>
      </c>
      <c r="E58" s="232">
        <f t="shared" si="4"/>
        <v>1284</v>
      </c>
      <c r="F58" s="232">
        <f ca="1">'9.0중기목록'!$F$10</f>
        <v>23409</v>
      </c>
      <c r="G58" s="232">
        <f t="shared" si="5"/>
        <v>702</v>
      </c>
      <c r="H58" s="232">
        <f ca="1">'9.0중기목록'!$E$10</f>
        <v>14915</v>
      </c>
      <c r="I58" s="232">
        <f t="shared" si="6"/>
        <v>447</v>
      </c>
      <c r="J58" s="232">
        <f ca="1">'9.0중기목록'!$G$10</f>
        <v>4533</v>
      </c>
      <c r="K58" s="236">
        <f t="shared" si="7"/>
        <v>135</v>
      </c>
    </row>
    <row r="59" spans="1:14" s="223" customFormat="1" ht="20.100000000000001" customHeight="1">
      <c r="A59" s="252" t="s">
        <v>885</v>
      </c>
      <c r="B59" s="244" t="s">
        <v>868</v>
      </c>
      <c r="C59" s="251">
        <f ca="1">'3.0수량표'!H37</f>
        <v>3.5000000000000003E-2</v>
      </c>
      <c r="D59" s="244" t="s">
        <v>843</v>
      </c>
      <c r="E59" s="232">
        <f t="shared" si="4"/>
        <v>1213</v>
      </c>
      <c r="F59" s="232">
        <f ca="1">'9.0중기목록'!$F$12</f>
        <v>6640</v>
      </c>
      <c r="G59" s="232">
        <f t="shared" si="5"/>
        <v>232</v>
      </c>
      <c r="H59" s="232">
        <f ca="1">'9.0중기목록'!$E$12</f>
        <v>17696</v>
      </c>
      <c r="I59" s="232">
        <f t="shared" si="6"/>
        <v>619</v>
      </c>
      <c r="J59" s="232">
        <f ca="1">'9.0중기목록'!$G$12</f>
        <v>10362</v>
      </c>
      <c r="K59" s="236">
        <f t="shared" si="7"/>
        <v>362</v>
      </c>
    </row>
    <row r="60" spans="1:14" s="223" customFormat="1" ht="20.100000000000001" customHeight="1">
      <c r="A60" s="243" t="s">
        <v>846</v>
      </c>
      <c r="B60" s="244" t="s">
        <v>847</v>
      </c>
      <c r="C60" s="251">
        <f ca="1">'3.0수량표'!H38</f>
        <v>0.03</v>
      </c>
      <c r="D60" s="244" t="s">
        <v>843</v>
      </c>
      <c r="E60" s="232">
        <f t="shared" si="4"/>
        <v>1157</v>
      </c>
      <c r="F60" s="232">
        <f ca="1">'9.0중기목록'!$F$14</f>
        <v>13117</v>
      </c>
      <c r="G60" s="232">
        <f t="shared" si="5"/>
        <v>393</v>
      </c>
      <c r="H60" s="232">
        <f ca="1">'9.0중기목록'!$E$14</f>
        <v>17696</v>
      </c>
      <c r="I60" s="232">
        <f t="shared" si="6"/>
        <v>530</v>
      </c>
      <c r="J60" s="232">
        <f ca="1">'9.0중기목록'!$G$14</f>
        <v>7823</v>
      </c>
      <c r="K60" s="236">
        <f t="shared" si="7"/>
        <v>234</v>
      </c>
    </row>
    <row r="61" spans="1:14" s="223" customFormat="1" ht="20.100000000000001" customHeight="1">
      <c r="A61" s="250" t="s">
        <v>836</v>
      </c>
      <c r="B61" s="244" t="s">
        <v>867</v>
      </c>
      <c r="C61" s="251">
        <f ca="1">'3.0수량표'!H39</f>
        <v>0.03</v>
      </c>
      <c r="D61" s="244" t="s">
        <v>843</v>
      </c>
      <c r="E61" s="232">
        <f t="shared" si="4"/>
        <v>1072</v>
      </c>
      <c r="F61" s="232">
        <f ca="1">'9.0중기목록'!$F$16</f>
        <v>11978</v>
      </c>
      <c r="G61" s="232">
        <f t="shared" si="5"/>
        <v>359</v>
      </c>
      <c r="H61" s="232">
        <f ca="1">'9.0중기목록'!$E$16</f>
        <v>17696</v>
      </c>
      <c r="I61" s="232">
        <f t="shared" si="6"/>
        <v>530</v>
      </c>
      <c r="J61" s="232">
        <f ca="1">'9.0중기목록'!$G$16</f>
        <v>6117</v>
      </c>
      <c r="K61" s="236">
        <f t="shared" si="7"/>
        <v>183</v>
      </c>
      <c r="M61" s="249"/>
    </row>
    <row r="62" spans="1:14" s="223" customFormat="1" ht="20.100000000000001" customHeight="1">
      <c r="A62" s="243" t="s">
        <v>837</v>
      </c>
      <c r="B62" s="244"/>
      <c r="C62" s="251">
        <f ca="1">'3.0수량표'!H40</f>
        <v>5.0000000000000001E-3</v>
      </c>
      <c r="D62" s="244" t="s">
        <v>964</v>
      </c>
      <c r="E62" s="232">
        <f t="shared" si="4"/>
        <v>461</v>
      </c>
      <c r="F62" s="232"/>
      <c r="G62" s="232"/>
      <c r="H62" s="232">
        <f ca="1">'11.0시중노임'!$F$4</f>
        <v>92218</v>
      </c>
      <c r="I62" s="232">
        <f t="shared" si="6"/>
        <v>461</v>
      </c>
      <c r="J62" s="232"/>
      <c r="K62" s="236"/>
    </row>
    <row r="63" spans="1:14" s="223" customFormat="1" ht="20.100000000000001" customHeight="1">
      <c r="A63" s="243" t="s">
        <v>838</v>
      </c>
      <c r="B63" s="244"/>
      <c r="C63" s="251">
        <f ca="1">'3.0수량표'!H41</f>
        <v>2.1999999999999999E-2</v>
      </c>
      <c r="D63" s="244" t="s">
        <v>964</v>
      </c>
      <c r="E63" s="232">
        <f t="shared" si="4"/>
        <v>1856</v>
      </c>
      <c r="F63" s="232"/>
      <c r="G63" s="232"/>
      <c r="H63" s="232">
        <f ca="1">'11.0시중노임'!$F$5</f>
        <v>84404</v>
      </c>
      <c r="I63" s="232">
        <f t="shared" si="6"/>
        <v>1856</v>
      </c>
      <c r="J63" s="232"/>
      <c r="K63" s="236"/>
    </row>
    <row r="64" spans="1:14" s="223" customFormat="1" ht="20.100000000000001" customHeight="1">
      <c r="A64" s="243" t="s">
        <v>848</v>
      </c>
      <c r="B64" s="244"/>
      <c r="C64" s="251">
        <f ca="1">'3.0수량표'!H42</f>
        <v>5.0000000000000001E-3</v>
      </c>
      <c r="D64" s="244" t="s">
        <v>964</v>
      </c>
      <c r="E64" s="232">
        <f t="shared" si="4"/>
        <v>432</v>
      </c>
      <c r="F64" s="232"/>
      <c r="G64" s="232"/>
      <c r="H64" s="232">
        <f ca="1">'11.0시중노임'!$F$12</f>
        <v>86521</v>
      </c>
      <c r="I64" s="232">
        <f t="shared" si="6"/>
        <v>432</v>
      </c>
      <c r="J64" s="232"/>
      <c r="K64" s="236"/>
    </row>
    <row r="65" spans="1:13" s="223" customFormat="1" ht="20.100000000000001" customHeight="1">
      <c r="A65" s="243" t="s">
        <v>839</v>
      </c>
      <c r="B65" s="244"/>
      <c r="C65" s="251">
        <f ca="1">'3.0수량표'!H43</f>
        <v>3.7999999999999999E-2</v>
      </c>
      <c r="D65" s="244" t="s">
        <v>964</v>
      </c>
      <c r="E65" s="232">
        <f t="shared" si="4"/>
        <v>2620</v>
      </c>
      <c r="F65" s="232"/>
      <c r="G65" s="232"/>
      <c r="H65" s="232">
        <f ca="1">'11.0시중노임'!$F$6</f>
        <v>68965</v>
      </c>
      <c r="I65" s="232">
        <f t="shared" si="6"/>
        <v>2620</v>
      </c>
      <c r="J65" s="232"/>
      <c r="K65" s="236"/>
      <c r="M65" s="249"/>
    </row>
    <row r="66" spans="1:13" s="223" customFormat="1" ht="20.100000000000001" customHeight="1">
      <c r="A66" s="243" t="s">
        <v>840</v>
      </c>
      <c r="B66" s="244" t="s">
        <v>980</v>
      </c>
      <c r="C66" s="245">
        <f ca="1">'3.0수량표'!D44</f>
        <v>2</v>
      </c>
      <c r="D66" s="244" t="s">
        <v>965</v>
      </c>
      <c r="E66" s="232">
        <f t="shared" si="4"/>
        <v>107</v>
      </c>
      <c r="F66" s="232"/>
      <c r="G66" s="232"/>
      <c r="H66" s="232"/>
      <c r="I66" s="232"/>
      <c r="J66" s="232">
        <f>SUM(I62:I65)</f>
        <v>5369</v>
      </c>
      <c r="K66" s="236">
        <f>INT(C66*J66/100)</f>
        <v>107</v>
      </c>
    </row>
    <row r="67" spans="1:13" s="223" customFormat="1" ht="20.100000000000001" customHeight="1">
      <c r="A67" s="243"/>
      <c r="B67" s="244"/>
      <c r="C67" s="245"/>
      <c r="D67" s="244"/>
      <c r="E67" s="232"/>
      <c r="F67" s="232"/>
      <c r="G67" s="232"/>
      <c r="H67" s="232"/>
      <c r="I67" s="232"/>
      <c r="J67" s="232"/>
      <c r="K67" s="236"/>
    </row>
    <row r="68" spans="1:13" s="223" customFormat="1" ht="20.100000000000001" customHeight="1">
      <c r="A68" s="243"/>
      <c r="B68" s="244"/>
      <c r="C68" s="251"/>
      <c r="D68" s="244"/>
      <c r="E68" s="232"/>
      <c r="F68" s="232"/>
      <c r="G68" s="232"/>
      <c r="H68" s="232"/>
      <c r="I68" s="232"/>
      <c r="J68" s="232"/>
      <c r="K68" s="236"/>
    </row>
    <row r="69" spans="1:13" s="257" customFormat="1" ht="20.100000000000001" customHeight="1">
      <c r="A69" s="237" t="s">
        <v>849</v>
      </c>
      <c r="B69" s="253"/>
      <c r="C69" s="254"/>
      <c r="D69" s="253"/>
      <c r="E69" s="255">
        <f>G69+I69+K69</f>
        <v>24751</v>
      </c>
      <c r="F69" s="255"/>
      <c r="G69" s="255">
        <f>SUM(G50:G68)</f>
        <v>14731</v>
      </c>
      <c r="H69" s="255"/>
      <c r="I69" s="255">
        <f>SUM(I50:I68)</f>
        <v>8111</v>
      </c>
      <c r="J69" s="255"/>
      <c r="K69" s="256">
        <f>SUM(K50:K68)</f>
        <v>1909</v>
      </c>
    </row>
    <row r="70" spans="1:13" s="223" customFormat="1" ht="20.100000000000001" customHeight="1">
      <c r="A70" s="258"/>
      <c r="B70" s="259" t="s">
        <v>981</v>
      </c>
      <c r="C70" s="259"/>
      <c r="D70" s="260"/>
      <c r="E70" s="232"/>
      <c r="F70" s="259"/>
      <c r="G70" s="259"/>
      <c r="H70" s="259"/>
      <c r="I70" s="259"/>
      <c r="J70" s="259"/>
      <c r="K70" s="261"/>
    </row>
    <row r="71" spans="1:13" s="257" customFormat="1" ht="20.100000000000001" customHeight="1">
      <c r="A71" s="262" t="s">
        <v>886</v>
      </c>
      <c r="B71" s="263"/>
      <c r="C71" s="263"/>
      <c r="D71" s="264"/>
      <c r="E71" s="265">
        <f>E69+E47</f>
        <v>29116</v>
      </c>
      <c r="F71" s="265"/>
      <c r="G71" s="265">
        <f>G69+G47</f>
        <v>16781</v>
      </c>
      <c r="H71" s="265"/>
      <c r="I71" s="265">
        <f>I69+I47</f>
        <v>10426</v>
      </c>
      <c r="J71" s="265"/>
      <c r="K71" s="266">
        <f>K69+K47</f>
        <v>1909</v>
      </c>
    </row>
    <row r="73" spans="1:13" ht="26.1" customHeight="1">
      <c r="A73" s="1837" t="s">
        <v>1387</v>
      </c>
      <c r="B73" s="1837"/>
      <c r="C73" s="1837"/>
      <c r="D73" s="1837"/>
      <c r="E73" s="1837"/>
      <c r="F73" s="1837"/>
      <c r="G73" s="1837"/>
      <c r="H73" s="1837"/>
      <c r="I73" s="1837"/>
      <c r="J73" s="1837"/>
      <c r="K73" s="1837"/>
    </row>
    <row r="74" spans="1:13" s="223" customFormat="1" ht="13.5" customHeight="1">
      <c r="A74" s="220"/>
      <c r="B74" s="220"/>
      <c r="C74" s="220"/>
      <c r="D74" s="221"/>
      <c r="E74" s="221"/>
      <c r="F74" s="220"/>
      <c r="G74" s="220"/>
      <c r="H74" s="220"/>
      <c r="I74" s="220"/>
      <c r="J74" s="220"/>
      <c r="K74" s="222" t="s">
        <v>977</v>
      </c>
    </row>
    <row r="75" spans="1:13" s="223" customFormat="1" ht="20.100000000000001" customHeight="1">
      <c r="A75" s="1853" t="s">
        <v>821</v>
      </c>
      <c r="B75" s="1851" t="s">
        <v>822</v>
      </c>
      <c r="C75" s="1851" t="s">
        <v>823</v>
      </c>
      <c r="D75" s="1851" t="s">
        <v>824</v>
      </c>
      <c r="E75" s="1851" t="s">
        <v>828</v>
      </c>
      <c r="F75" s="1849" t="s">
        <v>825</v>
      </c>
      <c r="G75" s="1855"/>
      <c r="H75" s="1849" t="s">
        <v>826</v>
      </c>
      <c r="I75" s="1855"/>
      <c r="J75" s="1849" t="s">
        <v>827</v>
      </c>
      <c r="K75" s="1850"/>
    </row>
    <row r="76" spans="1:13" s="224" customFormat="1" ht="20.100000000000001" customHeight="1">
      <c r="A76" s="1854"/>
      <c r="B76" s="1852"/>
      <c r="C76" s="1852"/>
      <c r="D76" s="1852"/>
      <c r="E76" s="1852"/>
      <c r="F76" s="481" t="s">
        <v>829</v>
      </c>
      <c r="G76" s="481" t="s">
        <v>830</v>
      </c>
      <c r="H76" s="481" t="s">
        <v>829</v>
      </c>
      <c r="I76" s="481" t="s">
        <v>830</v>
      </c>
      <c r="J76" s="481" t="s">
        <v>829</v>
      </c>
      <c r="K76" s="482" t="s">
        <v>830</v>
      </c>
    </row>
    <row r="77" spans="1:13" s="228" customFormat="1" ht="20.100000000000001" customHeight="1">
      <c r="A77" s="225" t="s">
        <v>881</v>
      </c>
      <c r="B77" s="226"/>
      <c r="C77" s="226"/>
      <c r="D77" s="226"/>
      <c r="E77" s="226"/>
      <c r="F77" s="226"/>
      <c r="G77" s="226"/>
      <c r="H77" s="226"/>
      <c r="I77" s="226"/>
      <c r="J77" s="226"/>
      <c r="K77" s="227"/>
    </row>
    <row r="78" spans="1:13" s="234" customFormat="1" ht="20.100000000000001" customHeight="1">
      <c r="A78" s="229" t="s">
        <v>882</v>
      </c>
      <c r="B78" s="230" t="s">
        <v>883</v>
      </c>
      <c r="C78" s="231">
        <f ca="1">'3.0수량표'!D16</f>
        <v>1.2</v>
      </c>
      <c r="D78" s="230" t="s">
        <v>869</v>
      </c>
      <c r="E78" s="232">
        <f>G78+I78+K78</f>
        <v>1800</v>
      </c>
      <c r="F78" s="230">
        <f ca="1">'8.0자재단가'!$I$18</f>
        <v>1500</v>
      </c>
      <c r="G78" s="232">
        <f>INT(C78*F78)</f>
        <v>1800</v>
      </c>
      <c r="H78" s="230"/>
      <c r="I78" s="230"/>
      <c r="J78" s="230"/>
      <c r="K78" s="233"/>
    </row>
    <row r="79" spans="1:13" s="234" customFormat="1" ht="20.100000000000001" customHeight="1">
      <c r="A79" s="229" t="s">
        <v>887</v>
      </c>
      <c r="B79" s="230" t="s">
        <v>1382</v>
      </c>
      <c r="C79" s="231">
        <f ca="1">'3.0수량표'!D17</f>
        <v>0.5</v>
      </c>
      <c r="D79" s="230" t="s">
        <v>869</v>
      </c>
      <c r="E79" s="232">
        <f>G79+I79+K79</f>
        <v>250</v>
      </c>
      <c r="F79" s="230">
        <f ca="1">'8.0자재단가'!$I$16</f>
        <v>500</v>
      </c>
      <c r="G79" s="232">
        <f>INT(C79*F79)</f>
        <v>250</v>
      </c>
      <c r="H79" s="230"/>
      <c r="I79" s="230"/>
      <c r="J79" s="230"/>
      <c r="K79" s="233"/>
    </row>
    <row r="80" spans="1:13" s="234" customFormat="1" ht="20.100000000000001" customHeight="1">
      <c r="A80" s="229" t="s">
        <v>837</v>
      </c>
      <c r="B80" s="230"/>
      <c r="C80" s="235">
        <f ca="1">'3.0수량표'!D18</f>
        <v>1E-3</v>
      </c>
      <c r="D80" s="230" t="s">
        <v>964</v>
      </c>
      <c r="E80" s="232">
        <f>G80+I80+K80</f>
        <v>92</v>
      </c>
      <c r="F80" s="232"/>
      <c r="G80" s="232"/>
      <c r="H80" s="232">
        <f ca="1">'11.0시중노임'!$F$4</f>
        <v>92218</v>
      </c>
      <c r="I80" s="232">
        <f>INT(C80*H80)</f>
        <v>92</v>
      </c>
      <c r="J80" s="232"/>
      <c r="K80" s="236"/>
    </row>
    <row r="81" spans="1:14" s="234" customFormat="1" ht="20.100000000000001" customHeight="1">
      <c r="A81" s="229" t="s">
        <v>838</v>
      </c>
      <c r="B81" s="230"/>
      <c r="C81" s="235">
        <f ca="1">'3.0수량표'!D19</f>
        <v>0.01</v>
      </c>
      <c r="D81" s="230" t="s">
        <v>964</v>
      </c>
      <c r="E81" s="232">
        <f>G81+I81+K81</f>
        <v>844</v>
      </c>
      <c r="F81" s="232"/>
      <c r="G81" s="232"/>
      <c r="H81" s="232">
        <f ca="1">'11.0시중노임'!$F$5</f>
        <v>84404</v>
      </c>
      <c r="I81" s="232">
        <f>INT(C81*H81)</f>
        <v>844</v>
      </c>
      <c r="J81" s="230"/>
      <c r="K81" s="233"/>
    </row>
    <row r="82" spans="1:14" s="234" customFormat="1" ht="20.100000000000001" customHeight="1">
      <c r="A82" s="229" t="s">
        <v>839</v>
      </c>
      <c r="B82" s="230"/>
      <c r="C82" s="235">
        <f ca="1">'3.0수량표'!D20</f>
        <v>0.02</v>
      </c>
      <c r="D82" s="230" t="s">
        <v>964</v>
      </c>
      <c r="E82" s="232">
        <f>G82+I82+K82</f>
        <v>1379</v>
      </c>
      <c r="F82" s="232"/>
      <c r="G82" s="232"/>
      <c r="H82" s="232">
        <f ca="1">'11.0시중노임'!$F$6</f>
        <v>68965</v>
      </c>
      <c r="I82" s="232">
        <f>INT(C82*H82)</f>
        <v>1379</v>
      </c>
      <c r="J82" s="230"/>
      <c r="K82" s="233"/>
    </row>
    <row r="83" spans="1:14" s="241" customFormat="1" ht="20.100000000000001" customHeight="1">
      <c r="A83" s="237" t="s">
        <v>849</v>
      </c>
      <c r="B83" s="238"/>
      <c r="C83" s="238"/>
      <c r="D83" s="238"/>
      <c r="E83" s="239">
        <f>SUM(E78:E82)</f>
        <v>4365</v>
      </c>
      <c r="F83" s="238"/>
      <c r="G83" s="239">
        <f>SUM(G78:G82)</f>
        <v>2050</v>
      </c>
      <c r="H83" s="238"/>
      <c r="I83" s="239">
        <f>SUM(I78:I82)</f>
        <v>2315</v>
      </c>
      <c r="J83" s="238"/>
      <c r="K83" s="240"/>
    </row>
    <row r="84" spans="1:14" s="234" customFormat="1" ht="20.100000000000001" customHeight="1">
      <c r="A84" s="229"/>
      <c r="B84" s="230"/>
      <c r="C84" s="230"/>
      <c r="D84" s="230"/>
      <c r="E84" s="230"/>
      <c r="F84" s="230"/>
      <c r="G84" s="230"/>
      <c r="H84" s="230"/>
      <c r="I84" s="230"/>
      <c r="J84" s="230"/>
      <c r="K84" s="233"/>
    </row>
    <row r="85" spans="1:14" s="228" customFormat="1" ht="20.100000000000001" customHeight="1">
      <c r="A85" s="242" t="s">
        <v>1043</v>
      </c>
      <c r="B85" s="230"/>
      <c r="C85" s="230"/>
      <c r="D85" s="230"/>
      <c r="E85" s="230"/>
      <c r="F85" s="230"/>
      <c r="G85" s="230"/>
      <c r="H85" s="230"/>
      <c r="I85" s="230"/>
      <c r="J85" s="230"/>
      <c r="K85" s="233"/>
    </row>
    <row r="86" spans="1:14" s="224" customFormat="1" ht="20.100000000000001" customHeight="1">
      <c r="A86" s="243" t="s">
        <v>850</v>
      </c>
      <c r="B86" s="244" t="s">
        <v>851</v>
      </c>
      <c r="C86" s="245">
        <f ca="1">'3.0수량표'!I28</f>
        <v>63</v>
      </c>
      <c r="D86" s="244" t="s">
        <v>831</v>
      </c>
      <c r="E86" s="232">
        <f t="shared" ref="E86:E102" si="8">G86+I86+K86</f>
        <v>9450</v>
      </c>
      <c r="F86" s="232">
        <f ca="1">'8.0자재단가'!$I$8</f>
        <v>150</v>
      </c>
      <c r="G86" s="232">
        <f>INT(C86*F86)</f>
        <v>9450</v>
      </c>
      <c r="H86" s="232"/>
      <c r="I86" s="232"/>
      <c r="J86" s="232"/>
      <c r="K86" s="236"/>
    </row>
    <row r="87" spans="1:14" s="223" customFormat="1" ht="20.100000000000001" customHeight="1">
      <c r="A87" s="246" t="s">
        <v>852</v>
      </c>
      <c r="B87" s="244" t="s">
        <v>832</v>
      </c>
      <c r="C87" s="245">
        <f ca="1">'3.0수량표'!I29</f>
        <v>15.399999999999999</v>
      </c>
      <c r="D87" s="244" t="s">
        <v>831</v>
      </c>
      <c r="E87" s="232">
        <f t="shared" si="8"/>
        <v>2618</v>
      </c>
      <c r="F87" s="232">
        <f ca="1">'8.0자재단가'!$I$9</f>
        <v>170</v>
      </c>
      <c r="G87" s="232">
        <f>INT(C87*F87)</f>
        <v>2618</v>
      </c>
      <c r="H87" s="232"/>
      <c r="I87" s="232"/>
      <c r="J87" s="232"/>
      <c r="K87" s="236"/>
    </row>
    <row r="88" spans="1:14" s="223" customFormat="1" ht="20.100000000000001" customHeight="1">
      <c r="A88" s="243" t="s">
        <v>853</v>
      </c>
      <c r="B88" s="247" t="s">
        <v>855</v>
      </c>
      <c r="C88" s="245">
        <f ca="1">'3.0수량표'!I30</f>
        <v>2.8</v>
      </c>
      <c r="D88" s="244" t="s">
        <v>811</v>
      </c>
      <c r="E88" s="232">
        <f t="shared" si="8"/>
        <v>560</v>
      </c>
      <c r="F88" s="232">
        <f ca="1">'8.0자재단가'!$I$10</f>
        <v>200</v>
      </c>
      <c r="G88" s="232">
        <f>INT(C88*F88)</f>
        <v>560</v>
      </c>
      <c r="H88" s="232"/>
      <c r="I88" s="232"/>
      <c r="J88" s="232"/>
      <c r="K88" s="236"/>
      <c r="M88" s="248"/>
      <c r="N88" s="248"/>
    </row>
    <row r="89" spans="1:14" s="223" customFormat="1" ht="20.100000000000001" customHeight="1">
      <c r="A89" s="243" t="s">
        <v>854</v>
      </c>
      <c r="B89" s="244" t="s">
        <v>833</v>
      </c>
      <c r="C89" s="245">
        <f ca="1">'3.0수량표'!I31</f>
        <v>0.7</v>
      </c>
      <c r="D89" s="244" t="s">
        <v>811</v>
      </c>
      <c r="E89" s="232">
        <f t="shared" si="8"/>
        <v>700</v>
      </c>
      <c r="F89" s="232">
        <f ca="1">'8.0자재단가'!$I$11</f>
        <v>1000</v>
      </c>
      <c r="G89" s="232">
        <f>INT(C89*F89)</f>
        <v>700</v>
      </c>
      <c r="H89" s="232"/>
      <c r="I89" s="232"/>
      <c r="J89" s="232"/>
      <c r="K89" s="236"/>
    </row>
    <row r="90" spans="1:14" s="223" customFormat="1" ht="20.100000000000001" customHeight="1">
      <c r="A90" s="243" t="s">
        <v>856</v>
      </c>
      <c r="B90" s="244" t="s">
        <v>834</v>
      </c>
      <c r="C90" s="245">
        <f ca="1">'3.0수량표'!I32</f>
        <v>30</v>
      </c>
      <c r="D90" s="244" t="s">
        <v>842</v>
      </c>
      <c r="E90" s="232">
        <f t="shared" si="8"/>
        <v>2400</v>
      </c>
      <c r="F90" s="232">
        <f ca="1">'8.0자재단가'!$I$14</f>
        <v>80</v>
      </c>
      <c r="G90" s="232">
        <f>INT(C90*F90)</f>
        <v>2400</v>
      </c>
      <c r="H90" s="232"/>
      <c r="I90" s="232"/>
      <c r="J90" s="232"/>
      <c r="K90" s="236"/>
    </row>
    <row r="91" spans="1:14" s="223" customFormat="1" ht="20.100000000000001" customHeight="1">
      <c r="A91" s="243" t="s">
        <v>884</v>
      </c>
      <c r="B91" s="244" t="s">
        <v>979</v>
      </c>
      <c r="C91" s="245">
        <f ca="1">'3.0수량표'!I33</f>
        <v>2</v>
      </c>
      <c r="D91" s="244" t="s">
        <v>965</v>
      </c>
      <c r="E91" s="232">
        <f t="shared" si="8"/>
        <v>314</v>
      </c>
      <c r="F91" s="232">
        <f>SUM(G86:G90)</f>
        <v>15728</v>
      </c>
      <c r="G91" s="232">
        <f>INT(C91*F91/100)</f>
        <v>314</v>
      </c>
      <c r="H91" s="232"/>
      <c r="I91" s="232"/>
      <c r="J91" s="232"/>
      <c r="K91" s="236"/>
      <c r="M91" s="249"/>
    </row>
    <row r="92" spans="1:14" s="223" customFormat="1" ht="20.100000000000001" customHeight="1">
      <c r="A92" s="250" t="s">
        <v>906</v>
      </c>
      <c r="B92" s="244" t="s">
        <v>876</v>
      </c>
      <c r="C92" s="251">
        <f ca="1">'3.0수량표'!I34</f>
        <v>0.04</v>
      </c>
      <c r="D92" s="244" t="s">
        <v>843</v>
      </c>
      <c r="E92" s="232">
        <f t="shared" si="8"/>
        <v>998</v>
      </c>
      <c r="F92" s="232">
        <f ca="1">'9.0중기목록'!$F$6</f>
        <v>0</v>
      </c>
      <c r="G92" s="232">
        <f t="shared" ref="G92:G97" si="9">INT(C92*F92)</f>
        <v>0</v>
      </c>
      <c r="H92" s="232">
        <f ca="1">'9.0중기목록'!$E$6</f>
        <v>0</v>
      </c>
      <c r="I92" s="232">
        <f t="shared" ref="I92:I101" si="10">INT(C92*H92)</f>
        <v>0</v>
      </c>
      <c r="J92" s="232">
        <f ca="1">'9.0중기목록'!$G$6</f>
        <v>24973</v>
      </c>
      <c r="K92" s="236">
        <f t="shared" ref="K92:K97" si="11">INT(C92*J92)</f>
        <v>998</v>
      </c>
    </row>
    <row r="93" spans="1:14" s="223" customFormat="1" ht="20.100000000000001" customHeight="1">
      <c r="A93" s="250" t="s">
        <v>835</v>
      </c>
      <c r="B93" s="244" t="s">
        <v>844</v>
      </c>
      <c r="C93" s="251">
        <f ca="1">'3.0수량표'!I35</f>
        <v>0.04</v>
      </c>
      <c r="D93" s="244" t="s">
        <v>843</v>
      </c>
      <c r="E93" s="232">
        <f t="shared" si="8"/>
        <v>2191</v>
      </c>
      <c r="F93" s="232">
        <f ca="1">'9.0중기목록'!$F$8</f>
        <v>29577</v>
      </c>
      <c r="G93" s="232">
        <f t="shared" si="9"/>
        <v>1183</v>
      </c>
      <c r="H93" s="232">
        <f ca="1">'9.0중기목록'!$E$8</f>
        <v>20561</v>
      </c>
      <c r="I93" s="232">
        <f t="shared" si="10"/>
        <v>822</v>
      </c>
      <c r="J93" s="232">
        <f ca="1">'9.0중기목록'!$G$8</f>
        <v>4656</v>
      </c>
      <c r="K93" s="236">
        <f t="shared" si="11"/>
        <v>186</v>
      </c>
    </row>
    <row r="94" spans="1:14" s="223" customFormat="1" ht="20.100000000000001" customHeight="1">
      <c r="A94" s="250" t="s">
        <v>845</v>
      </c>
      <c r="B94" s="244" t="s">
        <v>863</v>
      </c>
      <c r="C94" s="251">
        <f ca="1">'3.0수량표'!I36</f>
        <v>0.04</v>
      </c>
      <c r="D94" s="244" t="s">
        <v>843</v>
      </c>
      <c r="E94" s="232">
        <f t="shared" si="8"/>
        <v>1713</v>
      </c>
      <c r="F94" s="232">
        <f ca="1">'9.0중기목록'!$F$10</f>
        <v>23409</v>
      </c>
      <c r="G94" s="232">
        <f t="shared" si="9"/>
        <v>936</v>
      </c>
      <c r="H94" s="232">
        <f ca="1">'9.0중기목록'!$E$10</f>
        <v>14915</v>
      </c>
      <c r="I94" s="232">
        <f t="shared" si="10"/>
        <v>596</v>
      </c>
      <c r="J94" s="232">
        <f ca="1">'9.0중기목록'!$G$10</f>
        <v>4533</v>
      </c>
      <c r="K94" s="236">
        <f t="shared" si="11"/>
        <v>181</v>
      </c>
    </row>
    <row r="95" spans="1:14" s="223" customFormat="1" ht="20.100000000000001" customHeight="1">
      <c r="A95" s="252" t="s">
        <v>885</v>
      </c>
      <c r="B95" s="244" t="s">
        <v>868</v>
      </c>
      <c r="C95" s="251">
        <f ca="1">'3.0수량표'!I37</f>
        <v>0.05</v>
      </c>
      <c r="D95" s="244" t="s">
        <v>843</v>
      </c>
      <c r="E95" s="232">
        <f t="shared" si="8"/>
        <v>1734</v>
      </c>
      <c r="F95" s="232">
        <f ca="1">'9.0중기목록'!$F$12</f>
        <v>6640</v>
      </c>
      <c r="G95" s="232">
        <f t="shared" si="9"/>
        <v>332</v>
      </c>
      <c r="H95" s="232">
        <f ca="1">'9.0중기목록'!$E$12</f>
        <v>17696</v>
      </c>
      <c r="I95" s="232">
        <f t="shared" si="10"/>
        <v>884</v>
      </c>
      <c r="J95" s="232">
        <f ca="1">'9.0중기목록'!$G$12</f>
        <v>10362</v>
      </c>
      <c r="K95" s="236">
        <f t="shared" si="11"/>
        <v>518</v>
      </c>
    </row>
    <row r="96" spans="1:14" s="223" customFormat="1" ht="20.100000000000001" customHeight="1">
      <c r="A96" s="243" t="s">
        <v>846</v>
      </c>
      <c r="B96" s="244" t="s">
        <v>847</v>
      </c>
      <c r="C96" s="251">
        <f ca="1">'3.0수량표'!I38</f>
        <v>0.04</v>
      </c>
      <c r="D96" s="244" t="s">
        <v>843</v>
      </c>
      <c r="E96" s="232">
        <f t="shared" si="8"/>
        <v>1543</v>
      </c>
      <c r="F96" s="232">
        <f ca="1">'9.0중기목록'!$F$14</f>
        <v>13117</v>
      </c>
      <c r="G96" s="232">
        <f t="shared" si="9"/>
        <v>524</v>
      </c>
      <c r="H96" s="232">
        <f ca="1">'9.0중기목록'!$E$14</f>
        <v>17696</v>
      </c>
      <c r="I96" s="232">
        <f t="shared" si="10"/>
        <v>707</v>
      </c>
      <c r="J96" s="232">
        <f ca="1">'9.0중기목록'!$G$14</f>
        <v>7823</v>
      </c>
      <c r="K96" s="236">
        <f t="shared" si="11"/>
        <v>312</v>
      </c>
    </row>
    <row r="97" spans="1:13" s="223" customFormat="1" ht="20.100000000000001" customHeight="1">
      <c r="A97" s="250" t="s">
        <v>836</v>
      </c>
      <c r="B97" s="244" t="s">
        <v>867</v>
      </c>
      <c r="C97" s="251">
        <f ca="1">'3.0수량표'!I39</f>
        <v>0.04</v>
      </c>
      <c r="D97" s="244" t="s">
        <v>843</v>
      </c>
      <c r="E97" s="232">
        <f t="shared" si="8"/>
        <v>1430</v>
      </c>
      <c r="F97" s="232">
        <f ca="1">'9.0중기목록'!$F$16</f>
        <v>11978</v>
      </c>
      <c r="G97" s="232">
        <f t="shared" si="9"/>
        <v>479</v>
      </c>
      <c r="H97" s="232">
        <f ca="1">'9.0중기목록'!$E$16</f>
        <v>17696</v>
      </c>
      <c r="I97" s="232">
        <f t="shared" si="10"/>
        <v>707</v>
      </c>
      <c r="J97" s="232">
        <f ca="1">'9.0중기목록'!$G$16</f>
        <v>6117</v>
      </c>
      <c r="K97" s="236">
        <f t="shared" si="11"/>
        <v>244</v>
      </c>
      <c r="M97" s="249"/>
    </row>
    <row r="98" spans="1:13" s="223" customFormat="1" ht="20.100000000000001" customHeight="1">
      <c r="A98" s="243" t="s">
        <v>837</v>
      </c>
      <c r="B98" s="244"/>
      <c r="C98" s="251">
        <f ca="1">'3.0수량표'!I40</f>
        <v>6.0000000000000001E-3</v>
      </c>
      <c r="D98" s="244" t="s">
        <v>964</v>
      </c>
      <c r="E98" s="232">
        <f t="shared" si="8"/>
        <v>553</v>
      </c>
      <c r="F98" s="232"/>
      <c r="G98" s="232"/>
      <c r="H98" s="232">
        <f ca="1">'11.0시중노임'!$F$4</f>
        <v>92218</v>
      </c>
      <c r="I98" s="232">
        <f t="shared" si="10"/>
        <v>553</v>
      </c>
      <c r="J98" s="232"/>
      <c r="K98" s="236"/>
    </row>
    <row r="99" spans="1:13" s="223" customFormat="1" ht="20.100000000000001" customHeight="1">
      <c r="A99" s="243" t="s">
        <v>838</v>
      </c>
      <c r="B99" s="244"/>
      <c r="C99" s="251">
        <f ca="1">'3.0수량표'!I41</f>
        <v>2.7E-2</v>
      </c>
      <c r="D99" s="244" t="s">
        <v>964</v>
      </c>
      <c r="E99" s="232">
        <f t="shared" si="8"/>
        <v>2278</v>
      </c>
      <c r="F99" s="232"/>
      <c r="G99" s="232"/>
      <c r="H99" s="232">
        <f ca="1">'11.0시중노임'!$F$5</f>
        <v>84404</v>
      </c>
      <c r="I99" s="232">
        <f t="shared" si="10"/>
        <v>2278</v>
      </c>
      <c r="J99" s="232"/>
      <c r="K99" s="236"/>
    </row>
    <row r="100" spans="1:13" s="223" customFormat="1" ht="20.100000000000001" customHeight="1">
      <c r="A100" s="243" t="s">
        <v>848</v>
      </c>
      <c r="B100" s="244"/>
      <c r="C100" s="251">
        <f ca="1">'3.0수량표'!I42</f>
        <v>6.0000000000000001E-3</v>
      </c>
      <c r="D100" s="244" t="s">
        <v>964</v>
      </c>
      <c r="E100" s="232">
        <f t="shared" si="8"/>
        <v>519</v>
      </c>
      <c r="F100" s="232"/>
      <c r="G100" s="232"/>
      <c r="H100" s="232">
        <f ca="1">'11.0시중노임'!$F$12</f>
        <v>86521</v>
      </c>
      <c r="I100" s="232">
        <f t="shared" si="10"/>
        <v>519</v>
      </c>
      <c r="J100" s="232"/>
      <c r="K100" s="236"/>
    </row>
    <row r="101" spans="1:13" s="223" customFormat="1" ht="20.100000000000001" customHeight="1">
      <c r="A101" s="243" t="s">
        <v>839</v>
      </c>
      <c r="B101" s="244"/>
      <c r="C101" s="251">
        <f ca="1">'3.0수량표'!I43</f>
        <v>5.1999999999999998E-2</v>
      </c>
      <c r="D101" s="244" t="s">
        <v>964</v>
      </c>
      <c r="E101" s="232">
        <f t="shared" si="8"/>
        <v>3586</v>
      </c>
      <c r="F101" s="232"/>
      <c r="G101" s="232"/>
      <c r="H101" s="232">
        <f ca="1">'11.0시중노임'!$F$6</f>
        <v>68965</v>
      </c>
      <c r="I101" s="232">
        <f t="shared" si="10"/>
        <v>3586</v>
      </c>
      <c r="J101" s="232"/>
      <c r="K101" s="236"/>
      <c r="M101" s="249"/>
    </row>
    <row r="102" spans="1:13" s="223" customFormat="1" ht="20.100000000000001" customHeight="1">
      <c r="A102" s="243" t="s">
        <v>840</v>
      </c>
      <c r="B102" s="244" t="s">
        <v>980</v>
      </c>
      <c r="C102" s="245">
        <f ca="1">'3.0수량표'!D44</f>
        <v>2</v>
      </c>
      <c r="D102" s="244" t="s">
        <v>965</v>
      </c>
      <c r="E102" s="232">
        <f t="shared" si="8"/>
        <v>138</v>
      </c>
      <c r="F102" s="232"/>
      <c r="G102" s="232"/>
      <c r="H102" s="232"/>
      <c r="I102" s="232"/>
      <c r="J102" s="232">
        <f>SUM(I98:I101)</f>
        <v>6936</v>
      </c>
      <c r="K102" s="236">
        <f>INT(C102*J102/100)</f>
        <v>138</v>
      </c>
    </row>
    <row r="103" spans="1:13" s="223" customFormat="1" ht="20.100000000000001" customHeight="1">
      <c r="A103" s="243"/>
      <c r="B103" s="244"/>
      <c r="C103" s="245"/>
      <c r="D103" s="244"/>
      <c r="E103" s="232"/>
      <c r="F103" s="232"/>
      <c r="G103" s="232"/>
      <c r="H103" s="232"/>
      <c r="I103" s="232"/>
      <c r="J103" s="232"/>
      <c r="K103" s="236"/>
    </row>
    <row r="104" spans="1:13" s="223" customFormat="1" ht="20.100000000000001" customHeight="1">
      <c r="A104" s="243"/>
      <c r="B104" s="244"/>
      <c r="C104" s="251"/>
      <c r="D104" s="244"/>
      <c r="E104" s="232"/>
      <c r="F104" s="232"/>
      <c r="G104" s="232"/>
      <c r="H104" s="232"/>
      <c r="I104" s="232"/>
      <c r="J104" s="232"/>
      <c r="K104" s="236"/>
    </row>
    <row r="105" spans="1:13" s="257" customFormat="1" ht="20.100000000000001" customHeight="1">
      <c r="A105" s="237" t="s">
        <v>849</v>
      </c>
      <c r="B105" s="253"/>
      <c r="C105" s="254"/>
      <c r="D105" s="253"/>
      <c r="E105" s="255">
        <f>G105+I105+K105</f>
        <v>32725</v>
      </c>
      <c r="F105" s="255"/>
      <c r="G105" s="255">
        <f>SUM(G86:G104)</f>
        <v>19496</v>
      </c>
      <c r="H105" s="255"/>
      <c r="I105" s="255">
        <f>SUM(I86:I104)</f>
        <v>10652</v>
      </c>
      <c r="J105" s="255"/>
      <c r="K105" s="256">
        <f>SUM(K86:K104)</f>
        <v>2577</v>
      </c>
    </row>
    <row r="106" spans="1:13" s="223" customFormat="1" ht="20.100000000000001" customHeight="1">
      <c r="A106" s="258"/>
      <c r="B106" s="259" t="s">
        <v>981</v>
      </c>
      <c r="C106" s="259"/>
      <c r="D106" s="260"/>
      <c r="E106" s="232"/>
      <c r="F106" s="259"/>
      <c r="G106" s="259"/>
      <c r="H106" s="259"/>
      <c r="I106" s="259"/>
      <c r="J106" s="259"/>
      <c r="K106" s="261"/>
    </row>
    <row r="107" spans="1:13" s="257" customFormat="1" ht="20.100000000000001" customHeight="1">
      <c r="A107" s="262" t="s">
        <v>886</v>
      </c>
      <c r="B107" s="263"/>
      <c r="C107" s="263"/>
      <c r="D107" s="264"/>
      <c r="E107" s="265">
        <f>E105+E83</f>
        <v>37090</v>
      </c>
      <c r="F107" s="265"/>
      <c r="G107" s="265">
        <f>G105+G83</f>
        <v>21546</v>
      </c>
      <c r="H107" s="265"/>
      <c r="I107" s="265">
        <f>I105+I83</f>
        <v>12967</v>
      </c>
      <c r="J107" s="265"/>
      <c r="K107" s="266">
        <f>K105+K83</f>
        <v>2577</v>
      </c>
    </row>
  </sheetData>
  <mergeCells count="27">
    <mergeCell ref="A37:K37"/>
    <mergeCell ref="F39:G39"/>
    <mergeCell ref="H39:I39"/>
    <mergeCell ref="J39:K39"/>
    <mergeCell ref="E39:E40"/>
    <mergeCell ref="A39:A40"/>
    <mergeCell ref="B39:B40"/>
    <mergeCell ref="C39:C40"/>
    <mergeCell ref="D39:D40"/>
    <mergeCell ref="A1:K1"/>
    <mergeCell ref="A3:A4"/>
    <mergeCell ref="B3:B4"/>
    <mergeCell ref="C3:C4"/>
    <mergeCell ref="D3:D4"/>
    <mergeCell ref="E3:E4"/>
    <mergeCell ref="F3:G3"/>
    <mergeCell ref="H3:I3"/>
    <mergeCell ref="J3:K3"/>
    <mergeCell ref="J75:K75"/>
    <mergeCell ref="E75:E76"/>
    <mergeCell ref="A73:K73"/>
    <mergeCell ref="A75:A76"/>
    <mergeCell ref="B75:B76"/>
    <mergeCell ref="C75:C76"/>
    <mergeCell ref="D75:D76"/>
    <mergeCell ref="F75:G75"/>
    <mergeCell ref="H75:I75"/>
  </mergeCells>
  <phoneticPr fontId="3" type="noConversion"/>
  <printOptions horizontalCentered="1"/>
  <pageMargins left="0.74803149606299213" right="0.6692913385826772" top="0.78740157480314965" bottom="0.78740157480314965" header="0.51181102362204722" footer="0.39370078740157483"/>
  <pageSetup paperSize="9" orientation="portrait" horizontalDpi="4294967295" verticalDpi="300" r:id="rId1"/>
  <headerFooter alignWithMargins="0">
    <oddFooter xml:space="preserve">&amp;R&amp;10자연생태복원(JSB)공법
JSB건설 
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P184"/>
  <sheetViews>
    <sheetView zoomScaleSheetLayoutView="90" workbookViewId="0">
      <selection activeCell="P6" sqref="P6"/>
    </sheetView>
  </sheetViews>
  <sheetFormatPr defaultRowHeight="13.5"/>
  <cols>
    <col min="1" max="1" width="10.77734375" style="101" customWidth="1"/>
    <col min="2" max="2" width="9.77734375" style="101" customWidth="1"/>
    <col min="3" max="3" width="4.77734375" style="101" customWidth="1"/>
    <col min="4" max="4" width="4.33203125" style="120" customWidth="1"/>
    <col min="5" max="5" width="7.33203125" style="120" customWidth="1"/>
    <col min="6" max="11" width="6.33203125" style="101" customWidth="1"/>
    <col min="12" max="14" width="8.88671875" style="210"/>
    <col min="15" max="16384" width="8.88671875" style="101"/>
  </cols>
  <sheetData>
    <row r="1" spans="1:14" ht="24.95" customHeight="1">
      <c r="A1" s="1837" t="s">
        <v>1388</v>
      </c>
      <c r="B1" s="1837"/>
      <c r="C1" s="1837"/>
      <c r="D1" s="1837"/>
      <c r="E1" s="1837"/>
      <c r="F1" s="1837"/>
      <c r="G1" s="1837"/>
      <c r="H1" s="1837"/>
      <c r="I1" s="1837"/>
      <c r="J1" s="1837"/>
      <c r="K1" s="1837"/>
    </row>
    <row r="2" spans="1:14" s="104" customFormat="1" ht="13.5" customHeight="1">
      <c r="A2" s="102"/>
      <c r="B2" s="102"/>
      <c r="C2" s="102"/>
      <c r="D2" s="103"/>
      <c r="E2" s="103"/>
      <c r="F2" s="102"/>
      <c r="G2" s="102"/>
      <c r="H2" s="102"/>
      <c r="I2" s="102"/>
      <c r="J2" s="102"/>
      <c r="K2" s="124" t="s">
        <v>977</v>
      </c>
      <c r="L2" s="211"/>
      <c r="M2" s="211"/>
      <c r="N2" s="211"/>
    </row>
    <row r="3" spans="1:14" s="104" customFormat="1" ht="20.100000000000001" customHeight="1">
      <c r="A3" s="1861" t="s">
        <v>821</v>
      </c>
      <c r="B3" s="1835" t="s">
        <v>822</v>
      </c>
      <c r="C3" s="1835" t="s">
        <v>823</v>
      </c>
      <c r="D3" s="1835" t="s">
        <v>824</v>
      </c>
      <c r="E3" s="1833" t="s">
        <v>828</v>
      </c>
      <c r="F3" s="1835" t="s">
        <v>825</v>
      </c>
      <c r="G3" s="1835"/>
      <c r="H3" s="1835" t="s">
        <v>826</v>
      </c>
      <c r="I3" s="1835"/>
      <c r="J3" s="1835" t="s">
        <v>827</v>
      </c>
      <c r="K3" s="1840"/>
      <c r="L3" s="211"/>
      <c r="M3" s="211"/>
      <c r="N3" s="211"/>
    </row>
    <row r="4" spans="1:14" s="105" customFormat="1" ht="20.100000000000001" customHeight="1">
      <c r="A4" s="1862"/>
      <c r="B4" s="1836"/>
      <c r="C4" s="1836"/>
      <c r="D4" s="1836"/>
      <c r="E4" s="1834"/>
      <c r="F4" s="398" t="s">
        <v>829</v>
      </c>
      <c r="G4" s="398" t="s">
        <v>830</v>
      </c>
      <c r="H4" s="398" t="s">
        <v>829</v>
      </c>
      <c r="I4" s="398" t="s">
        <v>830</v>
      </c>
      <c r="J4" s="398" t="s">
        <v>829</v>
      </c>
      <c r="K4" s="399" t="s">
        <v>830</v>
      </c>
      <c r="L4" s="137"/>
      <c r="M4" s="137"/>
      <c r="N4" s="137"/>
    </row>
    <row r="5" spans="1:14" s="141" customFormat="1" ht="15" customHeight="1">
      <c r="A5" s="138" t="s">
        <v>1025</v>
      </c>
      <c r="B5" s="139"/>
      <c r="C5" s="139"/>
      <c r="D5" s="139"/>
      <c r="E5" s="139"/>
      <c r="F5" s="139"/>
      <c r="G5" s="139"/>
      <c r="H5" s="139"/>
      <c r="I5" s="139"/>
      <c r="J5" s="139"/>
      <c r="K5" s="140"/>
    </row>
    <row r="6" spans="1:14" s="141" customFormat="1" ht="15" customHeight="1">
      <c r="A6" s="117" t="s">
        <v>1008</v>
      </c>
      <c r="B6" s="204" t="s">
        <v>1009</v>
      </c>
      <c r="C6" s="111">
        <f ca="1">'3.0수량표'!H5</f>
        <v>1.9E-2</v>
      </c>
      <c r="D6" s="110" t="s">
        <v>843</v>
      </c>
      <c r="E6" s="112">
        <f>G6+I6+K6</f>
        <v>813</v>
      </c>
      <c r="F6" s="112">
        <f ca="1">'9.0중기목록'!$F$10</f>
        <v>23409</v>
      </c>
      <c r="G6" s="112">
        <f ca="1">INT(C6*F6)</f>
        <v>444</v>
      </c>
      <c r="H6" s="112">
        <f ca="1">'9.0중기목록'!$E$10</f>
        <v>14915</v>
      </c>
      <c r="I6" s="112">
        <f ca="1">INT(C6*H6)</f>
        <v>283</v>
      </c>
      <c r="J6" s="112">
        <f ca="1">'9.0중기목록'!$G$10</f>
        <v>4533</v>
      </c>
      <c r="K6" s="126">
        <f>INT(C6*J6)</f>
        <v>86</v>
      </c>
    </row>
    <row r="7" spans="1:14" s="141" customFormat="1" ht="15" customHeight="1">
      <c r="A7" s="117" t="s">
        <v>1010</v>
      </c>
      <c r="B7" s="204"/>
      <c r="C7" s="111">
        <f ca="1">'3.0수량표'!H6</f>
        <v>1.2E-2</v>
      </c>
      <c r="D7" s="139" t="s">
        <v>964</v>
      </c>
      <c r="E7" s="112">
        <f>G7+I7+K7</f>
        <v>954</v>
      </c>
      <c r="F7" s="112"/>
      <c r="G7" s="112"/>
      <c r="H7" s="112">
        <f ca="1">'11.0시중노임'!$F$3</f>
        <v>79533</v>
      </c>
      <c r="I7" s="112">
        <f>INT(C7*H7)</f>
        <v>954</v>
      </c>
      <c r="J7" s="139"/>
      <c r="K7" s="140"/>
    </row>
    <row r="8" spans="1:14" s="141" customFormat="1" ht="15" customHeight="1">
      <c r="A8" s="117" t="s">
        <v>1011</v>
      </c>
      <c r="B8" s="204"/>
      <c r="C8" s="111">
        <f ca="1">'3.0수량표'!H7</f>
        <v>1.2E-2</v>
      </c>
      <c r="D8" s="139" t="s">
        <v>964</v>
      </c>
      <c r="E8" s="112">
        <f>G8+I8+K8</f>
        <v>827</v>
      </c>
      <c r="F8" s="112"/>
      <c r="G8" s="112"/>
      <c r="H8" s="112">
        <f ca="1">'11.0시중노임'!$F$6</f>
        <v>68965</v>
      </c>
      <c r="I8" s="112">
        <f>INT(C8*H8)</f>
        <v>827</v>
      </c>
      <c r="J8" s="139"/>
      <c r="K8" s="140"/>
    </row>
    <row r="9" spans="1:14" s="141" customFormat="1" ht="15" customHeight="1">
      <c r="A9" s="121" t="s">
        <v>1012</v>
      </c>
      <c r="B9" s="110" t="s">
        <v>980</v>
      </c>
      <c r="C9" s="111">
        <f ca="1">'3.0수량표'!H8</f>
        <v>2.5</v>
      </c>
      <c r="D9" s="110" t="s">
        <v>965</v>
      </c>
      <c r="E9" s="112">
        <f>G9+I9+K9</f>
        <v>51</v>
      </c>
      <c r="F9" s="112"/>
      <c r="G9" s="112"/>
      <c r="H9" s="112"/>
      <c r="I9" s="112"/>
      <c r="J9" s="112">
        <f>SUM(I6:I8)</f>
        <v>2064</v>
      </c>
      <c r="K9" s="126">
        <f>INT(C9*J9/100)</f>
        <v>51</v>
      </c>
    </row>
    <row r="10" spans="1:14" s="145" customFormat="1" ht="15" customHeight="1">
      <c r="A10" s="146" t="s">
        <v>849</v>
      </c>
      <c r="B10" s="143"/>
      <c r="C10" s="143"/>
      <c r="D10" s="143"/>
      <c r="E10" s="131">
        <f>G10+I10+K10</f>
        <v>2645</v>
      </c>
      <c r="F10" s="143"/>
      <c r="G10" s="142">
        <f>SUM(G6:G9)</f>
        <v>444</v>
      </c>
      <c r="H10" s="143"/>
      <c r="I10" s="142">
        <f>SUM(I6:I9)</f>
        <v>2064</v>
      </c>
      <c r="J10" s="143"/>
      <c r="K10" s="152">
        <f>SUM(K6:K9)</f>
        <v>137</v>
      </c>
    </row>
    <row r="11" spans="1:14" s="141" customFormat="1" ht="15" customHeight="1">
      <c r="A11" s="138" t="s">
        <v>1026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40"/>
    </row>
    <row r="12" spans="1:14" s="141" customFormat="1" ht="15" customHeight="1">
      <c r="A12" s="117" t="s">
        <v>872</v>
      </c>
      <c r="B12" s="139" t="s">
        <v>1081</v>
      </c>
      <c r="C12" s="139">
        <f ca="1">'3.0수량표'!H10</f>
        <v>0.23</v>
      </c>
      <c r="D12" s="139" t="s">
        <v>1014</v>
      </c>
      <c r="E12" s="112">
        <f>G12+I12+K12</f>
        <v>207</v>
      </c>
      <c r="F12" s="112">
        <f ca="1">'8.0자재단가'!$I$17</f>
        <v>900</v>
      </c>
      <c r="G12" s="112">
        <f>INT(C12*F12)</f>
        <v>207</v>
      </c>
      <c r="H12" s="139"/>
      <c r="I12" s="139"/>
      <c r="J12" s="139"/>
      <c r="K12" s="140"/>
    </row>
    <row r="13" spans="1:14" s="141" customFormat="1" ht="15" customHeight="1">
      <c r="A13" s="117" t="s">
        <v>887</v>
      </c>
      <c r="B13" s="139" t="s">
        <v>873</v>
      </c>
      <c r="C13" s="139">
        <f ca="1">'3.0수량표'!H11</f>
        <v>0.5</v>
      </c>
      <c r="D13" s="139" t="s">
        <v>1014</v>
      </c>
      <c r="E13" s="112">
        <f>G13+I13+K13</f>
        <v>250</v>
      </c>
      <c r="F13" s="112">
        <f ca="1">'8.0자재단가'!I16</f>
        <v>500</v>
      </c>
      <c r="G13" s="112">
        <f>INT(C13*F13)</f>
        <v>250</v>
      </c>
      <c r="H13" s="139"/>
      <c r="I13" s="139"/>
      <c r="J13" s="139"/>
      <c r="K13" s="140"/>
    </row>
    <row r="14" spans="1:14" s="141" customFormat="1" ht="15" customHeight="1">
      <c r="A14" s="117" t="s">
        <v>838</v>
      </c>
      <c r="B14" s="139"/>
      <c r="C14" s="139">
        <f ca="1">'3.0수량표'!H12</f>
        <v>6.0000000000000001E-3</v>
      </c>
      <c r="D14" s="139" t="s">
        <v>964</v>
      </c>
      <c r="E14" s="112">
        <f>G14+I14+K14</f>
        <v>506</v>
      </c>
      <c r="F14" s="112"/>
      <c r="G14" s="112"/>
      <c r="H14" s="112">
        <f ca="1">'11.0시중노임'!$F$5</f>
        <v>84404</v>
      </c>
      <c r="I14" s="112">
        <f>INT(C14*H14)</f>
        <v>506</v>
      </c>
      <c r="J14" s="139"/>
      <c r="K14" s="140"/>
    </row>
    <row r="15" spans="1:14" s="141" customFormat="1" ht="15" customHeight="1">
      <c r="A15" s="117" t="s">
        <v>839</v>
      </c>
      <c r="B15" s="139"/>
      <c r="C15" s="139">
        <f ca="1">'3.0수량표'!H13</f>
        <v>6.0000000000000001E-3</v>
      </c>
      <c r="D15" s="139" t="s">
        <v>964</v>
      </c>
      <c r="E15" s="112">
        <f>G15+I15+K15</f>
        <v>413</v>
      </c>
      <c r="F15" s="112"/>
      <c r="G15" s="112"/>
      <c r="H15" s="112">
        <f ca="1">'11.0시중노임'!$F$6</f>
        <v>68965</v>
      </c>
      <c r="I15" s="112">
        <f>INT(C15*H15)</f>
        <v>413</v>
      </c>
      <c r="J15" s="139"/>
      <c r="K15" s="140"/>
    </row>
    <row r="16" spans="1:14" s="141" customFormat="1" ht="15" customHeight="1">
      <c r="A16" s="146" t="s">
        <v>849</v>
      </c>
      <c r="B16" s="143"/>
      <c r="C16" s="143"/>
      <c r="D16" s="143"/>
      <c r="E16" s="131">
        <f>G16+I16+K16</f>
        <v>1376</v>
      </c>
      <c r="F16" s="143"/>
      <c r="G16" s="142">
        <f>SUM(G11:G15)</f>
        <v>457</v>
      </c>
      <c r="H16" s="143"/>
      <c r="I16" s="142">
        <f>SUM(I11:I15)</f>
        <v>919</v>
      </c>
      <c r="J16" s="143"/>
      <c r="K16" s="140"/>
    </row>
    <row r="17" spans="1:14" s="137" customFormat="1" ht="15" customHeight="1">
      <c r="A17" s="138" t="s">
        <v>888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40"/>
    </row>
    <row r="18" spans="1:14" s="141" customFormat="1" ht="15" customHeight="1">
      <c r="A18" s="117" t="s">
        <v>838</v>
      </c>
      <c r="B18" s="139"/>
      <c r="C18" s="151">
        <f ca="1">'3.0수량표'!H21</f>
        <v>0</v>
      </c>
      <c r="D18" s="139" t="s">
        <v>964</v>
      </c>
      <c r="E18" s="112">
        <f t="shared" ref="E18:E23" si="0">G18+I18+K18</f>
        <v>0</v>
      </c>
      <c r="F18" s="112"/>
      <c r="G18" s="112"/>
      <c r="H18" s="112">
        <f ca="1">'11.0시중노임'!$F$5</f>
        <v>84404</v>
      </c>
      <c r="I18" s="112">
        <f>INT(C18*H18)</f>
        <v>0</v>
      </c>
      <c r="J18" s="139"/>
      <c r="K18" s="140"/>
    </row>
    <row r="19" spans="1:14" s="141" customFormat="1" ht="15" customHeight="1">
      <c r="A19" s="117" t="s">
        <v>1030</v>
      </c>
      <c r="B19" s="205" t="s">
        <v>1024</v>
      </c>
      <c r="C19" s="153">
        <f ca="1">'3.0수량표'!H22</f>
        <v>1.3</v>
      </c>
      <c r="D19" s="204" t="s">
        <v>1016</v>
      </c>
      <c r="E19" s="112">
        <f t="shared" si="0"/>
        <v>2873</v>
      </c>
      <c r="F19" s="202">
        <f ca="1">'8.0자재단가'!$I$19</f>
        <v>2210</v>
      </c>
      <c r="G19" s="112">
        <f>INT(C19*F19)</f>
        <v>2873</v>
      </c>
      <c r="H19" s="139"/>
      <c r="I19" s="139"/>
      <c r="J19" s="139"/>
      <c r="K19" s="140"/>
    </row>
    <row r="20" spans="1:14" s="141" customFormat="1" ht="15" customHeight="1">
      <c r="A20" s="117" t="s">
        <v>1031</v>
      </c>
      <c r="B20" s="139" t="s">
        <v>1023</v>
      </c>
      <c r="C20" s="153">
        <f ca="1">'3.0수량표'!H23</f>
        <v>1.3</v>
      </c>
      <c r="D20" s="204" t="s">
        <v>1019</v>
      </c>
      <c r="E20" s="112">
        <f t="shared" si="0"/>
        <v>195</v>
      </c>
      <c r="F20" s="202">
        <f ca="1">'8.0자재단가'!$I$20</f>
        <v>150</v>
      </c>
      <c r="G20" s="112">
        <f>INT(C20*F20)</f>
        <v>195</v>
      </c>
      <c r="H20" s="139"/>
      <c r="I20" s="139"/>
      <c r="J20" s="139"/>
      <c r="K20" s="140"/>
    </row>
    <row r="21" spans="1:14" s="141" customFormat="1" ht="15" customHeight="1">
      <c r="A21" s="117" t="s">
        <v>837</v>
      </c>
      <c r="B21" s="139"/>
      <c r="C21" s="151">
        <f ca="1">'3.0수량표'!H24</f>
        <v>5.0000000000000001E-3</v>
      </c>
      <c r="D21" s="139" t="s">
        <v>964</v>
      </c>
      <c r="E21" s="112">
        <f t="shared" si="0"/>
        <v>461</v>
      </c>
      <c r="F21" s="112"/>
      <c r="G21" s="112"/>
      <c r="H21" s="112">
        <f ca="1">'11.0시중노임'!$F$4</f>
        <v>92218</v>
      </c>
      <c r="I21" s="112">
        <f>INT(C21*H21)</f>
        <v>461</v>
      </c>
      <c r="J21" s="112"/>
      <c r="K21" s="126"/>
    </row>
    <row r="22" spans="1:14" s="141" customFormat="1" ht="15" customHeight="1">
      <c r="A22" s="117" t="s">
        <v>838</v>
      </c>
      <c r="B22" s="139"/>
      <c r="C22" s="151">
        <f ca="1">'3.0수량표'!H25</f>
        <v>0.02</v>
      </c>
      <c r="D22" s="139" t="s">
        <v>964</v>
      </c>
      <c r="E22" s="112">
        <f t="shared" si="0"/>
        <v>1688</v>
      </c>
      <c r="F22" s="112"/>
      <c r="G22" s="112"/>
      <c r="H22" s="112">
        <f ca="1">'11.0시중노임'!$F$5</f>
        <v>84404</v>
      </c>
      <c r="I22" s="112">
        <f>INT(C22*H22)</f>
        <v>1688</v>
      </c>
      <c r="J22" s="139"/>
      <c r="K22" s="140"/>
    </row>
    <row r="23" spans="1:14" s="141" customFormat="1" ht="15" customHeight="1">
      <c r="A23" s="117" t="s">
        <v>839</v>
      </c>
      <c r="B23" s="139"/>
      <c r="C23" s="151">
        <f ca="1">'3.0수량표'!H26</f>
        <v>0.02</v>
      </c>
      <c r="D23" s="139" t="s">
        <v>964</v>
      </c>
      <c r="E23" s="112">
        <f t="shared" si="0"/>
        <v>1379</v>
      </c>
      <c r="F23" s="112"/>
      <c r="G23" s="112"/>
      <c r="H23" s="112">
        <f ca="1">'11.0시중노임'!$F$6</f>
        <v>68965</v>
      </c>
      <c r="I23" s="112">
        <f>INT(C23*H23)</f>
        <v>1379</v>
      </c>
      <c r="J23" s="139"/>
      <c r="K23" s="140"/>
    </row>
    <row r="24" spans="1:14" s="145" customFormat="1" ht="15" customHeight="1">
      <c r="A24" s="146" t="s">
        <v>849</v>
      </c>
      <c r="B24" s="143"/>
      <c r="C24" s="143"/>
      <c r="D24" s="143"/>
      <c r="E24" s="142">
        <f>SUM(E19:E23)</f>
        <v>6596</v>
      </c>
      <c r="F24" s="143"/>
      <c r="G24" s="142">
        <f>SUM(G19:G23)</f>
        <v>3068</v>
      </c>
      <c r="H24" s="143"/>
      <c r="I24" s="142">
        <f>SUM(I19:I23)</f>
        <v>3528</v>
      </c>
      <c r="J24" s="143"/>
      <c r="K24" s="144"/>
    </row>
    <row r="25" spans="1:14" s="137" customFormat="1" ht="15" customHeight="1">
      <c r="A25" s="138" t="s">
        <v>890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4" s="105" customFormat="1" ht="15" customHeight="1">
      <c r="A26" s="113" t="s">
        <v>850</v>
      </c>
      <c r="B26" s="110" t="s">
        <v>851</v>
      </c>
      <c r="C26" s="136">
        <f ca="1">'3.0수량표'!H28</f>
        <v>45</v>
      </c>
      <c r="D26" s="110" t="s">
        <v>831</v>
      </c>
      <c r="E26" s="112">
        <f t="shared" ref="E26:E42" si="1">G26+I26+K26</f>
        <v>6750</v>
      </c>
      <c r="F26" s="112">
        <f ca="1">'8.0자재단가'!$I$8</f>
        <v>150</v>
      </c>
      <c r="G26" s="112">
        <f>INT(C26*F26)</f>
        <v>6750</v>
      </c>
      <c r="H26" s="112"/>
      <c r="I26" s="112"/>
      <c r="J26" s="112"/>
      <c r="K26" s="126"/>
      <c r="L26" s="137"/>
      <c r="M26" s="137"/>
      <c r="N26" s="137"/>
    </row>
    <row r="27" spans="1:14" s="104" customFormat="1" ht="15" customHeight="1">
      <c r="A27" s="106" t="s">
        <v>852</v>
      </c>
      <c r="B27" s="110" t="s">
        <v>832</v>
      </c>
      <c r="C27" s="136">
        <f ca="1">'3.0수량표'!H29</f>
        <v>10.999999999999998</v>
      </c>
      <c r="D27" s="110" t="s">
        <v>831</v>
      </c>
      <c r="E27" s="112">
        <f t="shared" si="1"/>
        <v>1870</v>
      </c>
      <c r="F27" s="112">
        <f ca="1">'8.0자재단가'!$I$9</f>
        <v>170</v>
      </c>
      <c r="G27" s="112">
        <f>INT(C27*F27)</f>
        <v>1870</v>
      </c>
      <c r="H27" s="112"/>
      <c r="I27" s="112"/>
      <c r="J27" s="112"/>
      <c r="K27" s="126"/>
      <c r="L27" s="211"/>
      <c r="M27" s="211"/>
      <c r="N27" s="211"/>
    </row>
    <row r="28" spans="1:14" s="104" customFormat="1" ht="15" customHeight="1">
      <c r="A28" s="113" t="s">
        <v>853</v>
      </c>
      <c r="B28" s="114" t="s">
        <v>855</v>
      </c>
      <c r="C28" s="136">
        <f ca="1">'3.0수량표'!H30</f>
        <v>1.9999999999999998</v>
      </c>
      <c r="D28" s="110" t="s">
        <v>811</v>
      </c>
      <c r="E28" s="112">
        <f t="shared" si="1"/>
        <v>400</v>
      </c>
      <c r="F28" s="112">
        <f ca="1">'8.0자재단가'!$I$10</f>
        <v>200</v>
      </c>
      <c r="G28" s="112">
        <f>INT(C28*F28)</f>
        <v>400</v>
      </c>
      <c r="H28" s="112"/>
      <c r="I28" s="112"/>
      <c r="J28" s="112"/>
      <c r="K28" s="126"/>
      <c r="L28" s="211"/>
      <c r="M28" s="212"/>
      <c r="N28" s="212"/>
    </row>
    <row r="29" spans="1:14" s="104" customFormat="1" ht="15" customHeight="1">
      <c r="A29" s="113" t="s">
        <v>854</v>
      </c>
      <c r="B29" s="110" t="s">
        <v>833</v>
      </c>
      <c r="C29" s="136">
        <f ca="1">'3.0수량표'!H31</f>
        <v>0.49999999999999994</v>
      </c>
      <c r="D29" s="110" t="s">
        <v>811</v>
      </c>
      <c r="E29" s="112">
        <f t="shared" si="1"/>
        <v>500</v>
      </c>
      <c r="F29" s="112">
        <f ca="1">'8.0자재단가'!$I$11</f>
        <v>1000</v>
      </c>
      <c r="G29" s="112">
        <f>INT(C29*F29)</f>
        <v>500</v>
      </c>
      <c r="H29" s="112"/>
      <c r="I29" s="112"/>
      <c r="J29" s="112"/>
      <c r="K29" s="126"/>
      <c r="L29" s="211"/>
      <c r="M29" s="211"/>
      <c r="N29" s="211"/>
    </row>
    <row r="30" spans="1:14" s="104" customFormat="1" ht="15" customHeight="1">
      <c r="A30" s="113" t="s">
        <v>856</v>
      </c>
      <c r="B30" s="110" t="s">
        <v>834</v>
      </c>
      <c r="C30" s="136">
        <f ca="1">'3.0수량표'!H32</f>
        <v>30</v>
      </c>
      <c r="D30" s="110" t="s">
        <v>842</v>
      </c>
      <c r="E30" s="112">
        <f t="shared" si="1"/>
        <v>2400</v>
      </c>
      <c r="F30" s="112">
        <f ca="1">'8.0자재단가'!$I$14</f>
        <v>80</v>
      </c>
      <c r="G30" s="112">
        <f>INT(C30*F30)</f>
        <v>2400</v>
      </c>
      <c r="H30" s="112"/>
      <c r="I30" s="112"/>
      <c r="J30" s="112"/>
      <c r="K30" s="126"/>
      <c r="L30" s="211"/>
      <c r="M30" s="211"/>
      <c r="N30" s="211"/>
    </row>
    <row r="31" spans="1:14" s="104" customFormat="1" ht="15" customHeight="1">
      <c r="A31" s="113" t="s">
        <v>884</v>
      </c>
      <c r="B31" s="110" t="s">
        <v>979</v>
      </c>
      <c r="C31" s="136">
        <f ca="1">'3.0수량표'!H33</f>
        <v>2</v>
      </c>
      <c r="D31" s="110" t="s">
        <v>965</v>
      </c>
      <c r="E31" s="112">
        <f t="shared" si="1"/>
        <v>238</v>
      </c>
      <c r="F31" s="112">
        <f>SUM(G26:G30)</f>
        <v>11920</v>
      </c>
      <c r="G31" s="112">
        <f>INT(C31*F31/100)</f>
        <v>238</v>
      </c>
      <c r="H31" s="112"/>
      <c r="I31" s="112"/>
      <c r="J31" s="112"/>
      <c r="K31" s="126"/>
      <c r="L31" s="211"/>
      <c r="M31" s="213"/>
      <c r="N31" s="211"/>
    </row>
    <row r="32" spans="1:14" s="104" customFormat="1" ht="15" customHeight="1">
      <c r="A32" s="117" t="s">
        <v>906</v>
      </c>
      <c r="B32" s="110" t="s">
        <v>876</v>
      </c>
      <c r="C32" s="122">
        <f ca="1">'3.0수량표'!H34</f>
        <v>0.03</v>
      </c>
      <c r="D32" s="110" t="s">
        <v>843</v>
      </c>
      <c r="E32" s="112">
        <f t="shared" si="1"/>
        <v>749</v>
      </c>
      <c r="F32" s="112">
        <f ca="1">'9.0중기목록'!$F$6</f>
        <v>0</v>
      </c>
      <c r="G32" s="112">
        <f t="shared" ref="G32:G37" si="2">INT(C32*F32)</f>
        <v>0</v>
      </c>
      <c r="H32" s="112">
        <f ca="1">'9.0중기목록'!$E$6</f>
        <v>0</v>
      </c>
      <c r="I32" s="112">
        <f t="shared" ref="I32:I41" si="3">INT(C32*H32)</f>
        <v>0</v>
      </c>
      <c r="J32" s="112">
        <f ca="1">'9.0중기목록'!$G$6</f>
        <v>24973</v>
      </c>
      <c r="K32" s="126">
        <f t="shared" ref="K32:K37" si="4">INT(C32*J32)</f>
        <v>749</v>
      </c>
      <c r="L32" s="211"/>
      <c r="M32" s="211"/>
      <c r="N32" s="211"/>
    </row>
    <row r="33" spans="1:16" s="104" customFormat="1" ht="15" customHeight="1">
      <c r="A33" s="117" t="s">
        <v>835</v>
      </c>
      <c r="B33" s="110" t="s">
        <v>844</v>
      </c>
      <c r="C33" s="122">
        <f ca="1">'3.0수량표'!H35</f>
        <v>0.03</v>
      </c>
      <c r="D33" s="110" t="s">
        <v>843</v>
      </c>
      <c r="E33" s="112">
        <f t="shared" si="1"/>
        <v>1642</v>
      </c>
      <c r="F33" s="112">
        <f ca="1">'9.0중기목록'!$F$8</f>
        <v>29577</v>
      </c>
      <c r="G33" s="112">
        <f t="shared" si="2"/>
        <v>887</v>
      </c>
      <c r="H33" s="112">
        <f ca="1">'9.0중기목록'!$E$8</f>
        <v>20561</v>
      </c>
      <c r="I33" s="112">
        <f t="shared" si="3"/>
        <v>616</v>
      </c>
      <c r="J33" s="112">
        <f ca="1">'9.0중기목록'!$G$8</f>
        <v>4656</v>
      </c>
      <c r="K33" s="126">
        <f t="shared" si="4"/>
        <v>139</v>
      </c>
      <c r="L33" s="211"/>
      <c r="M33" s="211"/>
      <c r="N33" s="211"/>
    </row>
    <row r="34" spans="1:16" s="104" customFormat="1" ht="15" customHeight="1">
      <c r="A34" s="117" t="s">
        <v>845</v>
      </c>
      <c r="B34" s="110" t="s">
        <v>863</v>
      </c>
      <c r="C34" s="122">
        <f ca="1">'3.0수량표'!H36</f>
        <v>0.03</v>
      </c>
      <c r="D34" s="110" t="s">
        <v>843</v>
      </c>
      <c r="E34" s="112">
        <f t="shared" si="1"/>
        <v>1284</v>
      </c>
      <c r="F34" s="112">
        <f ca="1">'9.0중기목록'!$F$10</f>
        <v>23409</v>
      </c>
      <c r="G34" s="112">
        <f t="shared" si="2"/>
        <v>702</v>
      </c>
      <c r="H34" s="112">
        <f ca="1">'9.0중기목록'!$E$10</f>
        <v>14915</v>
      </c>
      <c r="I34" s="112">
        <f t="shared" si="3"/>
        <v>447</v>
      </c>
      <c r="J34" s="112">
        <f ca="1">'9.0중기목록'!$G$10</f>
        <v>4533</v>
      </c>
      <c r="K34" s="126">
        <f t="shared" si="4"/>
        <v>135</v>
      </c>
      <c r="L34" s="211"/>
      <c r="M34" s="211"/>
      <c r="N34" s="211"/>
    </row>
    <row r="35" spans="1:16" s="104" customFormat="1" ht="15" customHeight="1">
      <c r="A35" s="121" t="s">
        <v>885</v>
      </c>
      <c r="B35" s="110" t="s">
        <v>868</v>
      </c>
      <c r="C35" s="122">
        <f ca="1">'3.0수량표'!H37</f>
        <v>3.5000000000000003E-2</v>
      </c>
      <c r="D35" s="110" t="s">
        <v>843</v>
      </c>
      <c r="E35" s="112">
        <f t="shared" si="1"/>
        <v>1213</v>
      </c>
      <c r="F35" s="112">
        <f ca="1">'9.0중기목록'!$F$12</f>
        <v>6640</v>
      </c>
      <c r="G35" s="112">
        <f t="shared" si="2"/>
        <v>232</v>
      </c>
      <c r="H35" s="112">
        <f ca="1">'9.0중기목록'!$E$12</f>
        <v>17696</v>
      </c>
      <c r="I35" s="112">
        <f t="shared" si="3"/>
        <v>619</v>
      </c>
      <c r="J35" s="112">
        <f ca="1">'9.0중기목록'!$G$12</f>
        <v>10362</v>
      </c>
      <c r="K35" s="126">
        <f t="shared" si="4"/>
        <v>362</v>
      </c>
      <c r="L35" s="211"/>
      <c r="M35" s="211"/>
      <c r="N35" s="211"/>
    </row>
    <row r="36" spans="1:16" s="104" customFormat="1" ht="15" customHeight="1">
      <c r="A36" s="113" t="s">
        <v>846</v>
      </c>
      <c r="B36" s="110" t="s">
        <v>847</v>
      </c>
      <c r="C36" s="122">
        <f ca="1">'3.0수량표'!H38</f>
        <v>0.03</v>
      </c>
      <c r="D36" s="110" t="s">
        <v>843</v>
      </c>
      <c r="E36" s="112">
        <f t="shared" si="1"/>
        <v>1157</v>
      </c>
      <c r="F36" s="112">
        <f ca="1">'9.0중기목록'!$F$14</f>
        <v>13117</v>
      </c>
      <c r="G36" s="112">
        <f t="shared" si="2"/>
        <v>393</v>
      </c>
      <c r="H36" s="112">
        <f ca="1">'9.0중기목록'!$E$14</f>
        <v>17696</v>
      </c>
      <c r="I36" s="112">
        <f t="shared" si="3"/>
        <v>530</v>
      </c>
      <c r="J36" s="112">
        <f ca="1">'9.0중기목록'!$G$14</f>
        <v>7823</v>
      </c>
      <c r="K36" s="126">
        <f t="shared" si="4"/>
        <v>234</v>
      </c>
      <c r="L36" s="211"/>
      <c r="M36" s="211"/>
      <c r="N36" s="211"/>
    </row>
    <row r="37" spans="1:16" s="104" customFormat="1" ht="15" customHeight="1">
      <c r="A37" s="117" t="s">
        <v>836</v>
      </c>
      <c r="B37" s="110" t="s">
        <v>867</v>
      </c>
      <c r="C37" s="122">
        <f ca="1">'3.0수량표'!H39</f>
        <v>0.03</v>
      </c>
      <c r="D37" s="110" t="s">
        <v>843</v>
      </c>
      <c r="E37" s="112">
        <f t="shared" si="1"/>
        <v>1072</v>
      </c>
      <c r="F37" s="112">
        <f ca="1">'9.0중기목록'!$F$16</f>
        <v>11978</v>
      </c>
      <c r="G37" s="112">
        <f t="shared" si="2"/>
        <v>359</v>
      </c>
      <c r="H37" s="112">
        <f ca="1">'9.0중기목록'!$E$16</f>
        <v>17696</v>
      </c>
      <c r="I37" s="112">
        <f t="shared" si="3"/>
        <v>530</v>
      </c>
      <c r="J37" s="112">
        <f ca="1">'9.0중기목록'!$G$16</f>
        <v>6117</v>
      </c>
      <c r="K37" s="126">
        <f t="shared" si="4"/>
        <v>183</v>
      </c>
      <c r="L37" s="211"/>
      <c r="M37" s="213"/>
      <c r="N37" s="211"/>
    </row>
    <row r="38" spans="1:16" s="104" customFormat="1" ht="15" customHeight="1">
      <c r="A38" s="113" t="s">
        <v>837</v>
      </c>
      <c r="B38" s="110"/>
      <c r="C38" s="122">
        <f ca="1">'3.0수량표'!H40</f>
        <v>5.0000000000000001E-3</v>
      </c>
      <c r="D38" s="110" t="s">
        <v>964</v>
      </c>
      <c r="E38" s="112">
        <f t="shared" si="1"/>
        <v>461</v>
      </c>
      <c r="F38" s="112"/>
      <c r="G38" s="112"/>
      <c r="H38" s="112">
        <f ca="1">'11.0시중노임'!$F$4</f>
        <v>92218</v>
      </c>
      <c r="I38" s="112">
        <f t="shared" si="3"/>
        <v>461</v>
      </c>
      <c r="J38" s="112"/>
      <c r="K38" s="126"/>
      <c r="L38" s="211"/>
      <c r="M38" s="211"/>
      <c r="N38" s="211"/>
    </row>
    <row r="39" spans="1:16" s="104" customFormat="1" ht="15" customHeight="1">
      <c r="A39" s="113" t="s">
        <v>838</v>
      </c>
      <c r="B39" s="110"/>
      <c r="C39" s="122">
        <f ca="1">'3.0수량표'!H41</f>
        <v>2.1999999999999999E-2</v>
      </c>
      <c r="D39" s="110" t="s">
        <v>964</v>
      </c>
      <c r="E39" s="112">
        <f t="shared" si="1"/>
        <v>1856</v>
      </c>
      <c r="F39" s="112"/>
      <c r="G39" s="112"/>
      <c r="H39" s="112">
        <f ca="1">'11.0시중노임'!$F$5</f>
        <v>84404</v>
      </c>
      <c r="I39" s="112">
        <f t="shared" si="3"/>
        <v>1856</v>
      </c>
      <c r="J39" s="112"/>
      <c r="K39" s="126"/>
      <c r="L39" s="211"/>
      <c r="M39" s="211"/>
      <c r="N39" s="211"/>
    </row>
    <row r="40" spans="1:16" s="104" customFormat="1" ht="15" customHeight="1">
      <c r="A40" s="113" t="s">
        <v>848</v>
      </c>
      <c r="B40" s="110"/>
      <c r="C40" s="122">
        <f ca="1">'3.0수량표'!H42</f>
        <v>5.0000000000000001E-3</v>
      </c>
      <c r="D40" s="110" t="s">
        <v>964</v>
      </c>
      <c r="E40" s="112">
        <f t="shared" si="1"/>
        <v>432</v>
      </c>
      <c r="F40" s="112"/>
      <c r="G40" s="112"/>
      <c r="H40" s="112">
        <f ca="1">'11.0시중노임'!$F$12</f>
        <v>86521</v>
      </c>
      <c r="I40" s="112">
        <f t="shared" si="3"/>
        <v>432</v>
      </c>
      <c r="J40" s="112"/>
      <c r="K40" s="126"/>
      <c r="L40" s="211"/>
      <c r="M40" s="211"/>
      <c r="N40" s="211"/>
    </row>
    <row r="41" spans="1:16" s="104" customFormat="1" ht="15" customHeight="1">
      <c r="A41" s="113" t="s">
        <v>839</v>
      </c>
      <c r="B41" s="110"/>
      <c r="C41" s="122">
        <f ca="1">'3.0수량표'!H43</f>
        <v>3.7999999999999999E-2</v>
      </c>
      <c r="D41" s="110" t="s">
        <v>964</v>
      </c>
      <c r="E41" s="112">
        <f t="shared" si="1"/>
        <v>2620</v>
      </c>
      <c r="F41" s="112"/>
      <c r="G41" s="112"/>
      <c r="H41" s="112">
        <f ca="1">'11.0시중노임'!$F$6</f>
        <v>68965</v>
      </c>
      <c r="I41" s="112">
        <f t="shared" si="3"/>
        <v>2620</v>
      </c>
      <c r="J41" s="112"/>
      <c r="K41" s="126"/>
      <c r="L41" s="211"/>
      <c r="M41" s="213"/>
      <c r="N41" s="211"/>
    </row>
    <row r="42" spans="1:16" s="104" customFormat="1" ht="15" customHeight="1">
      <c r="A42" s="113" t="s">
        <v>840</v>
      </c>
      <c r="B42" s="110" t="s">
        <v>980</v>
      </c>
      <c r="C42" s="136">
        <f ca="1">'3.0수량표'!D44</f>
        <v>2</v>
      </c>
      <c r="D42" s="110" t="s">
        <v>965</v>
      </c>
      <c r="E42" s="112">
        <f t="shared" si="1"/>
        <v>107</v>
      </c>
      <c r="F42" s="112"/>
      <c r="G42" s="112"/>
      <c r="H42" s="112"/>
      <c r="I42" s="112"/>
      <c r="J42" s="112">
        <f>SUM(I38:I41)</f>
        <v>5369</v>
      </c>
      <c r="K42" s="126">
        <f>INT(C42*J42/100)</f>
        <v>107</v>
      </c>
      <c r="L42" s="211"/>
      <c r="M42" s="211"/>
      <c r="N42" s="211"/>
    </row>
    <row r="43" spans="1:16" s="134" customFormat="1" ht="15" customHeight="1">
      <c r="A43" s="146" t="s">
        <v>849</v>
      </c>
      <c r="B43" s="147"/>
      <c r="C43" s="148"/>
      <c r="D43" s="147"/>
      <c r="E43" s="131">
        <f>G43+I43+K43</f>
        <v>24751</v>
      </c>
      <c r="F43" s="131"/>
      <c r="G43" s="131">
        <f>SUM(G26:G42)</f>
        <v>14731</v>
      </c>
      <c r="H43" s="131"/>
      <c r="I43" s="131">
        <f>SUM(I26:I42)</f>
        <v>8111</v>
      </c>
      <c r="J43" s="131"/>
      <c r="K43" s="149">
        <f>SUM(K26:K42)</f>
        <v>1909</v>
      </c>
      <c r="L43" s="214"/>
      <c r="M43" s="214"/>
      <c r="N43" s="214"/>
    </row>
    <row r="44" spans="1:16" s="134" customFormat="1" ht="15" customHeight="1">
      <c r="A44" s="146"/>
      <c r="B44" s="147"/>
      <c r="C44" s="148"/>
      <c r="D44" s="147"/>
      <c r="E44" s="131"/>
      <c r="F44" s="131"/>
      <c r="G44" s="131"/>
      <c r="H44" s="131"/>
      <c r="I44" s="131"/>
      <c r="J44" s="131"/>
      <c r="K44" s="149"/>
      <c r="L44" s="137"/>
      <c r="M44" s="137"/>
      <c r="N44" s="137"/>
      <c r="O44" s="105"/>
      <c r="P44" s="104"/>
    </row>
    <row r="45" spans="1:16" s="104" customFormat="1" ht="15" customHeight="1">
      <c r="A45" s="119"/>
      <c r="B45" s="115" t="s">
        <v>981</v>
      </c>
      <c r="C45" s="115"/>
      <c r="D45" s="116"/>
      <c r="E45" s="112"/>
      <c r="F45" s="115"/>
      <c r="G45" s="115"/>
      <c r="H45" s="115"/>
      <c r="I45" s="115"/>
      <c r="J45" s="115"/>
      <c r="K45" s="127"/>
      <c r="L45" s="211"/>
      <c r="M45" s="211"/>
      <c r="N45" s="211"/>
    </row>
    <row r="46" spans="1:16" s="134" customFormat="1" ht="15" customHeight="1">
      <c r="A46" s="128" t="s">
        <v>886</v>
      </c>
      <c r="B46" s="129"/>
      <c r="C46" s="129"/>
      <c r="D46" s="130"/>
      <c r="E46" s="132">
        <f>E43+E24+E16+E10</f>
        <v>35368</v>
      </c>
      <c r="F46" s="132"/>
      <c r="G46" s="132">
        <f>G43+G24+G16+G10</f>
        <v>18700</v>
      </c>
      <c r="H46" s="132"/>
      <c r="I46" s="132">
        <f>I43+I24+I16+I10</f>
        <v>14622</v>
      </c>
      <c r="J46" s="132"/>
      <c r="K46" s="133">
        <f>K43+K24+K16+K10</f>
        <v>2046</v>
      </c>
      <c r="L46" s="214"/>
      <c r="M46" s="214"/>
      <c r="N46" s="214"/>
    </row>
    <row r="47" spans="1:16" ht="9.9499999999999993" customHeight="1"/>
    <row r="48" spans="1:16" ht="26.1" customHeight="1">
      <c r="A48" s="1837" t="s">
        <v>1389</v>
      </c>
      <c r="B48" s="1837"/>
      <c r="C48" s="1837"/>
      <c r="D48" s="1837"/>
      <c r="E48" s="1837"/>
      <c r="F48" s="1837"/>
      <c r="G48" s="1837"/>
      <c r="H48" s="1837"/>
      <c r="I48" s="1837"/>
      <c r="J48" s="1837"/>
      <c r="K48" s="1837"/>
    </row>
    <row r="49" spans="1:15" s="104" customFormat="1" ht="13.5" customHeight="1">
      <c r="A49" s="102"/>
      <c r="B49" s="102"/>
      <c r="C49" s="102"/>
      <c r="D49" s="103"/>
      <c r="E49" s="103"/>
      <c r="F49" s="102"/>
      <c r="G49" s="102"/>
      <c r="H49" s="102"/>
      <c r="I49" s="102"/>
      <c r="J49" s="102"/>
      <c r="K49" s="124" t="s">
        <v>977</v>
      </c>
      <c r="L49" s="211"/>
      <c r="M49" s="211"/>
      <c r="N49" s="211"/>
    </row>
    <row r="50" spans="1:15" s="104" customFormat="1" ht="20.100000000000001" customHeight="1">
      <c r="A50" s="1861" t="s">
        <v>821</v>
      </c>
      <c r="B50" s="1835" t="s">
        <v>822</v>
      </c>
      <c r="C50" s="1835" t="s">
        <v>823</v>
      </c>
      <c r="D50" s="1835" t="s">
        <v>824</v>
      </c>
      <c r="E50" s="1833" t="s">
        <v>828</v>
      </c>
      <c r="F50" s="1835" t="s">
        <v>825</v>
      </c>
      <c r="G50" s="1835"/>
      <c r="H50" s="1835" t="s">
        <v>826</v>
      </c>
      <c r="I50" s="1835"/>
      <c r="J50" s="1835" t="s">
        <v>827</v>
      </c>
      <c r="K50" s="1840"/>
      <c r="L50" s="211"/>
      <c r="M50" s="211"/>
      <c r="N50" s="211"/>
    </row>
    <row r="51" spans="1:15" s="105" customFormat="1" ht="20.100000000000001" customHeight="1">
      <c r="A51" s="1862"/>
      <c r="B51" s="1836"/>
      <c r="C51" s="1836"/>
      <c r="D51" s="1836"/>
      <c r="E51" s="1834"/>
      <c r="F51" s="398" t="s">
        <v>829</v>
      </c>
      <c r="G51" s="398" t="s">
        <v>830</v>
      </c>
      <c r="H51" s="398" t="s">
        <v>829</v>
      </c>
      <c r="I51" s="398" t="s">
        <v>830</v>
      </c>
      <c r="J51" s="398" t="s">
        <v>829</v>
      </c>
      <c r="K51" s="399" t="s">
        <v>830</v>
      </c>
      <c r="L51" s="137"/>
      <c r="M51" s="137"/>
      <c r="N51" s="137"/>
    </row>
    <row r="52" spans="1:15" s="141" customFormat="1" ht="15" customHeight="1">
      <c r="A52" s="138" t="s">
        <v>1025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40"/>
      <c r="L52" s="137"/>
      <c r="M52" s="137"/>
      <c r="N52" s="137"/>
      <c r="O52" s="105"/>
    </row>
    <row r="53" spans="1:15" s="141" customFormat="1" ht="15" customHeight="1">
      <c r="A53" s="117" t="s">
        <v>1027</v>
      </c>
      <c r="B53" s="204" t="s">
        <v>1009</v>
      </c>
      <c r="C53" s="111">
        <f ca="1">'3.0수량표'!H5</f>
        <v>1.9E-2</v>
      </c>
      <c r="D53" s="110" t="s">
        <v>843</v>
      </c>
      <c r="E53" s="112">
        <f>G53+I53+K53</f>
        <v>813</v>
      </c>
      <c r="F53" s="112">
        <f ca="1">'9.0중기목록'!$F$10</f>
        <v>23409</v>
      </c>
      <c r="G53" s="112">
        <f ca="1">INT(C53*F53)</f>
        <v>444</v>
      </c>
      <c r="H53" s="112">
        <f ca="1">'9.0중기목록'!$E$10</f>
        <v>14915</v>
      </c>
      <c r="I53" s="112">
        <f ca="1">INT(C53*H53)</f>
        <v>283</v>
      </c>
      <c r="J53" s="112">
        <f ca="1">'9.0중기목록'!$G$10</f>
        <v>4533</v>
      </c>
      <c r="K53" s="126">
        <f>INT(C53*J53)</f>
        <v>86</v>
      </c>
      <c r="L53" s="137"/>
      <c r="M53" s="137"/>
      <c r="N53" s="137"/>
      <c r="O53" s="105"/>
    </row>
    <row r="54" spans="1:15" s="141" customFormat="1" ht="15" customHeight="1">
      <c r="A54" s="117" t="s">
        <v>1028</v>
      </c>
      <c r="B54" s="204"/>
      <c r="C54" s="111">
        <f ca="1">'3.0수량표'!H6</f>
        <v>1.2E-2</v>
      </c>
      <c r="D54" s="139" t="s">
        <v>964</v>
      </c>
      <c r="E54" s="112">
        <f>G54+I54+K54</f>
        <v>954</v>
      </c>
      <c r="F54" s="112"/>
      <c r="G54" s="112"/>
      <c r="H54" s="112">
        <f ca="1">'11.0시중노임'!$F$3</f>
        <v>79533</v>
      </c>
      <c r="I54" s="112">
        <f>INT(C54*H54)</f>
        <v>954</v>
      </c>
      <c r="J54" s="139"/>
      <c r="K54" s="140"/>
      <c r="L54" s="137"/>
      <c r="M54" s="137"/>
      <c r="N54" s="137"/>
      <c r="O54" s="105"/>
    </row>
    <row r="55" spans="1:15" s="141" customFormat="1" ht="15" customHeight="1">
      <c r="A55" s="117" t="s">
        <v>1029</v>
      </c>
      <c r="B55" s="204"/>
      <c r="C55" s="111">
        <f ca="1">'3.0수량표'!H7</f>
        <v>1.2E-2</v>
      </c>
      <c r="D55" s="139" t="s">
        <v>964</v>
      </c>
      <c r="E55" s="112">
        <f>G55+I55+K55</f>
        <v>827</v>
      </c>
      <c r="F55" s="112"/>
      <c r="G55" s="112"/>
      <c r="H55" s="112">
        <f ca="1">'11.0시중노임'!$F$6</f>
        <v>68965</v>
      </c>
      <c r="I55" s="112">
        <f>INT(C55*H55)</f>
        <v>827</v>
      </c>
      <c r="J55" s="139"/>
      <c r="K55" s="140"/>
      <c r="L55" s="137"/>
      <c r="M55" s="137"/>
      <c r="N55" s="137"/>
      <c r="O55" s="105"/>
    </row>
    <row r="56" spans="1:15" s="141" customFormat="1" ht="15" customHeight="1">
      <c r="A56" s="121" t="s">
        <v>1012</v>
      </c>
      <c r="B56" s="110" t="s">
        <v>980</v>
      </c>
      <c r="C56" s="111">
        <f ca="1">'3.0수량표'!H8</f>
        <v>2.5</v>
      </c>
      <c r="D56" s="110" t="s">
        <v>965</v>
      </c>
      <c r="E56" s="112">
        <f>G56+I56+K56</f>
        <v>51</v>
      </c>
      <c r="F56" s="112"/>
      <c r="G56" s="112"/>
      <c r="H56" s="112"/>
      <c r="I56" s="112"/>
      <c r="J56" s="112">
        <f>SUM(I53:I55)</f>
        <v>2064</v>
      </c>
      <c r="K56" s="126">
        <f>INT(C56*J56/100)</f>
        <v>51</v>
      </c>
      <c r="L56" s="137"/>
      <c r="M56" s="137"/>
      <c r="N56" s="137"/>
      <c r="O56" s="105"/>
    </row>
    <row r="57" spans="1:15" s="145" customFormat="1" ht="15" customHeight="1">
      <c r="A57" s="146" t="s">
        <v>849</v>
      </c>
      <c r="B57" s="143"/>
      <c r="C57" s="143"/>
      <c r="D57" s="143"/>
      <c r="E57" s="131">
        <f>G57+I57+K57</f>
        <v>2645</v>
      </c>
      <c r="F57" s="143"/>
      <c r="G57" s="142">
        <f>SUM(G53:G56)</f>
        <v>444</v>
      </c>
      <c r="H57" s="143"/>
      <c r="I57" s="142">
        <f>SUM(I53:I56)</f>
        <v>2064</v>
      </c>
      <c r="J57" s="143"/>
      <c r="K57" s="152">
        <f>SUM(K53:K56)</f>
        <v>137</v>
      </c>
      <c r="L57" s="137"/>
      <c r="M57" s="137"/>
      <c r="N57" s="137"/>
      <c r="O57" s="105"/>
    </row>
    <row r="58" spans="1:15" s="141" customFormat="1" ht="15" customHeight="1">
      <c r="A58" s="138" t="s">
        <v>1026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40"/>
      <c r="L58" s="137"/>
      <c r="M58" s="137"/>
      <c r="N58" s="137"/>
      <c r="O58" s="105"/>
    </row>
    <row r="59" spans="1:15" s="141" customFormat="1" ht="15" customHeight="1">
      <c r="A59" s="117" t="s">
        <v>872</v>
      </c>
      <c r="B59" s="139" t="s">
        <v>1013</v>
      </c>
      <c r="C59" s="139">
        <f ca="1">'3.0수량표'!H10</f>
        <v>0.23</v>
      </c>
      <c r="D59" s="139" t="s">
        <v>1014</v>
      </c>
      <c r="E59" s="112">
        <f>G59+I59+K59</f>
        <v>207</v>
      </c>
      <c r="F59" s="112">
        <f ca="1">'8.0자재단가'!$I$17</f>
        <v>900</v>
      </c>
      <c r="G59" s="112">
        <f>INT(C59*F59)</f>
        <v>207</v>
      </c>
      <c r="H59" s="139"/>
      <c r="I59" s="139"/>
      <c r="J59" s="139"/>
      <c r="K59" s="140"/>
      <c r="L59" s="137"/>
      <c r="M59" s="137"/>
      <c r="N59" s="137"/>
      <c r="O59" s="105"/>
    </row>
    <row r="60" spans="1:15" s="141" customFormat="1" ht="15" customHeight="1">
      <c r="A60" s="117" t="s">
        <v>887</v>
      </c>
      <c r="B60" s="139" t="s">
        <v>873</v>
      </c>
      <c r="C60" s="139">
        <f ca="1">'3.0수량표'!H11</f>
        <v>0.5</v>
      </c>
      <c r="D60" s="139" t="s">
        <v>1014</v>
      </c>
      <c r="E60" s="112">
        <f>G60+I60+K60</f>
        <v>250</v>
      </c>
      <c r="F60" s="112">
        <f ca="1">'8.0자재단가'!I16</f>
        <v>500</v>
      </c>
      <c r="G60" s="112">
        <f>INT(C60*F60)</f>
        <v>250</v>
      </c>
      <c r="H60" s="139"/>
      <c r="I60" s="139"/>
      <c r="J60" s="139"/>
      <c r="K60" s="140"/>
      <c r="L60" s="137"/>
      <c r="M60" s="137"/>
      <c r="N60" s="137"/>
      <c r="O60" s="105"/>
    </row>
    <row r="61" spans="1:15" s="141" customFormat="1" ht="15" customHeight="1">
      <c r="A61" s="117" t="s">
        <v>838</v>
      </c>
      <c r="B61" s="139"/>
      <c r="C61" s="139">
        <f ca="1">'3.0수량표'!H12</f>
        <v>6.0000000000000001E-3</v>
      </c>
      <c r="D61" s="139" t="s">
        <v>964</v>
      </c>
      <c r="E61" s="112">
        <f>G61+I61+K61</f>
        <v>506</v>
      </c>
      <c r="F61" s="112"/>
      <c r="G61" s="112"/>
      <c r="H61" s="112">
        <f ca="1">'11.0시중노임'!$F$5</f>
        <v>84404</v>
      </c>
      <c r="I61" s="112">
        <f>INT(C61*H61)</f>
        <v>506</v>
      </c>
      <c r="J61" s="139"/>
      <c r="K61" s="140"/>
      <c r="L61" s="137"/>
      <c r="M61" s="137"/>
      <c r="N61" s="137"/>
      <c r="O61" s="105"/>
    </row>
    <row r="62" spans="1:15" s="141" customFormat="1" ht="15" customHeight="1">
      <c r="A62" s="117" t="s">
        <v>839</v>
      </c>
      <c r="B62" s="139"/>
      <c r="C62" s="139">
        <f ca="1">'3.0수량표'!H13</f>
        <v>6.0000000000000001E-3</v>
      </c>
      <c r="D62" s="139" t="s">
        <v>964</v>
      </c>
      <c r="E62" s="112">
        <f>G62+I62+K62</f>
        <v>413</v>
      </c>
      <c r="F62" s="112"/>
      <c r="G62" s="112"/>
      <c r="H62" s="112">
        <f ca="1">'11.0시중노임'!$F$6</f>
        <v>68965</v>
      </c>
      <c r="I62" s="112">
        <f>INT(C62*H62)</f>
        <v>413</v>
      </c>
      <c r="J62" s="139"/>
      <c r="K62" s="140"/>
      <c r="L62" s="137"/>
      <c r="M62" s="137"/>
      <c r="N62" s="137"/>
      <c r="O62" s="105"/>
    </row>
    <row r="63" spans="1:15" s="141" customFormat="1" ht="15" customHeight="1">
      <c r="A63" s="146" t="s">
        <v>849</v>
      </c>
      <c r="B63" s="143"/>
      <c r="C63" s="143"/>
      <c r="D63" s="143"/>
      <c r="E63" s="131">
        <f>G63+I63+K63</f>
        <v>1376</v>
      </c>
      <c r="F63" s="143"/>
      <c r="G63" s="142">
        <f>SUM(G58:G62)</f>
        <v>457</v>
      </c>
      <c r="H63" s="143"/>
      <c r="I63" s="142">
        <f>SUM(I58:I62)</f>
        <v>919</v>
      </c>
      <c r="J63" s="143"/>
      <c r="K63" s="140"/>
      <c r="L63" s="137"/>
      <c r="M63" s="137"/>
      <c r="N63" s="137"/>
      <c r="O63" s="105"/>
    </row>
    <row r="64" spans="1:15" s="137" customFormat="1" ht="15" customHeight="1">
      <c r="A64" s="138" t="s">
        <v>888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40"/>
      <c r="O64" s="105"/>
    </row>
    <row r="65" spans="1:15" s="141" customFormat="1" ht="15" customHeight="1">
      <c r="A65" s="121" t="s">
        <v>1015</v>
      </c>
      <c r="B65" s="205" t="s">
        <v>1024</v>
      </c>
      <c r="C65" s="153">
        <f ca="1">'3.0수량표'!H22</f>
        <v>1.3</v>
      </c>
      <c r="D65" s="204" t="s">
        <v>1016</v>
      </c>
      <c r="E65" s="112">
        <f>G65+I65+K65</f>
        <v>2873</v>
      </c>
      <c r="F65" s="202">
        <f ca="1">'8.0자재단가'!$I$19</f>
        <v>2210</v>
      </c>
      <c r="G65" s="112">
        <f>INT(C65*F65)</f>
        <v>2873</v>
      </c>
      <c r="H65" s="139"/>
      <c r="I65" s="139"/>
      <c r="J65" s="139"/>
      <c r="K65" s="140"/>
      <c r="L65" s="137"/>
      <c r="M65" s="137"/>
      <c r="N65" s="137"/>
      <c r="O65" s="105"/>
    </row>
    <row r="66" spans="1:15" s="141" customFormat="1" ht="15" customHeight="1">
      <c r="A66" s="121" t="s">
        <v>1017</v>
      </c>
      <c r="B66" s="139" t="s">
        <v>1023</v>
      </c>
      <c r="C66" s="153">
        <f ca="1">'3.0수량표'!H23</f>
        <v>1.3</v>
      </c>
      <c r="D66" s="204" t="s">
        <v>1019</v>
      </c>
      <c r="E66" s="112">
        <f>G66+I66+K66</f>
        <v>195</v>
      </c>
      <c r="F66" s="202">
        <f ca="1">'8.0자재단가'!$I$20</f>
        <v>150</v>
      </c>
      <c r="G66" s="112">
        <f>INT(C66*F66)</f>
        <v>195</v>
      </c>
      <c r="H66" s="139"/>
      <c r="I66" s="139"/>
      <c r="J66" s="139"/>
      <c r="K66" s="140"/>
      <c r="L66" s="137"/>
      <c r="M66" s="137"/>
      <c r="N66" s="137"/>
      <c r="O66" s="105"/>
    </row>
    <row r="67" spans="1:15" s="141" customFormat="1" ht="15" customHeight="1">
      <c r="A67" s="117" t="s">
        <v>837</v>
      </c>
      <c r="B67" s="139"/>
      <c r="C67" s="139">
        <f ca="1">'3.0수량표'!H24</f>
        <v>5.0000000000000001E-3</v>
      </c>
      <c r="D67" s="139" t="s">
        <v>964</v>
      </c>
      <c r="E67" s="112">
        <f>G67+I67+K67</f>
        <v>461</v>
      </c>
      <c r="F67" s="112"/>
      <c r="G67" s="112"/>
      <c r="H67" s="112">
        <f ca="1">'11.0시중노임'!$F$4</f>
        <v>92218</v>
      </c>
      <c r="I67" s="112">
        <f>INT(C67*H67)</f>
        <v>461</v>
      </c>
      <c r="J67" s="112"/>
      <c r="K67" s="126"/>
      <c r="L67" s="137"/>
      <c r="M67" s="137"/>
      <c r="N67" s="137"/>
      <c r="O67" s="105"/>
    </row>
    <row r="68" spans="1:15" s="141" customFormat="1" ht="15" customHeight="1">
      <c r="A68" s="117" t="s">
        <v>838</v>
      </c>
      <c r="B68" s="139"/>
      <c r="C68" s="151">
        <f ca="1">'3.0수량표'!H25</f>
        <v>0.02</v>
      </c>
      <c r="D68" s="139" t="s">
        <v>964</v>
      </c>
      <c r="E68" s="112">
        <f>G68+I68+K68</f>
        <v>1688</v>
      </c>
      <c r="F68" s="112"/>
      <c r="G68" s="112"/>
      <c r="H68" s="112">
        <f ca="1">'11.0시중노임'!$F$5</f>
        <v>84404</v>
      </c>
      <c r="I68" s="112">
        <f>INT(C68*H68)</f>
        <v>1688</v>
      </c>
      <c r="J68" s="139"/>
      <c r="K68" s="140"/>
      <c r="L68" s="137"/>
      <c r="M68" s="137"/>
      <c r="N68" s="137"/>
      <c r="O68" s="105"/>
    </row>
    <row r="69" spans="1:15" s="141" customFormat="1" ht="15" customHeight="1">
      <c r="A69" s="117" t="s">
        <v>839</v>
      </c>
      <c r="B69" s="139"/>
      <c r="C69" s="151">
        <f ca="1">'3.0수량표'!H26</f>
        <v>0.02</v>
      </c>
      <c r="D69" s="139" t="s">
        <v>964</v>
      </c>
      <c r="E69" s="112">
        <f>G69+I69+K69</f>
        <v>1379</v>
      </c>
      <c r="F69" s="112"/>
      <c r="G69" s="112"/>
      <c r="H69" s="112">
        <f ca="1">'11.0시중노임'!$F$6</f>
        <v>68965</v>
      </c>
      <c r="I69" s="112">
        <f>INT(C69*H69)</f>
        <v>1379</v>
      </c>
      <c r="J69" s="139"/>
      <c r="K69" s="140"/>
      <c r="L69" s="137"/>
      <c r="M69" s="137"/>
      <c r="N69" s="137"/>
      <c r="O69" s="105"/>
    </row>
    <row r="70" spans="1:15" s="145" customFormat="1" ht="15" customHeight="1">
      <c r="A70" s="146" t="s">
        <v>849</v>
      </c>
      <c r="B70" s="143"/>
      <c r="C70" s="143"/>
      <c r="D70" s="143"/>
      <c r="E70" s="142">
        <f>SUM(E65:E69)</f>
        <v>6596</v>
      </c>
      <c r="F70" s="143"/>
      <c r="G70" s="142">
        <f>SUM(G65:G69)</f>
        <v>3068</v>
      </c>
      <c r="H70" s="143"/>
      <c r="I70" s="142">
        <f>SUM(I65:I69)</f>
        <v>3528</v>
      </c>
      <c r="J70" s="143"/>
      <c r="K70" s="144"/>
      <c r="L70" s="137"/>
      <c r="M70" s="137"/>
      <c r="N70" s="137"/>
      <c r="O70" s="105"/>
    </row>
    <row r="71" spans="1:15" s="137" customFormat="1" ht="15" customHeight="1">
      <c r="A71" s="138" t="s">
        <v>890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40"/>
      <c r="O71" s="105"/>
    </row>
    <row r="72" spans="1:15" s="105" customFormat="1" ht="15" customHeight="1">
      <c r="A72" s="113" t="s">
        <v>850</v>
      </c>
      <c r="B72" s="110" t="s">
        <v>851</v>
      </c>
      <c r="C72" s="136">
        <f ca="1">'3.0수량표'!I28</f>
        <v>63</v>
      </c>
      <c r="D72" s="110" t="s">
        <v>831</v>
      </c>
      <c r="E72" s="112">
        <f t="shared" ref="E72:E88" si="5">G72+I72+K72</f>
        <v>9450</v>
      </c>
      <c r="F72" s="112">
        <f ca="1">'8.0자재단가'!$I$8</f>
        <v>150</v>
      </c>
      <c r="G72" s="112">
        <f>INT(C72*F72)</f>
        <v>9450</v>
      </c>
      <c r="H72" s="112"/>
      <c r="I72" s="112"/>
      <c r="J72" s="112"/>
      <c r="K72" s="126"/>
      <c r="L72" s="137"/>
      <c r="M72" s="137"/>
      <c r="N72" s="137"/>
    </row>
    <row r="73" spans="1:15" s="104" customFormat="1" ht="15" customHeight="1">
      <c r="A73" s="106" t="s">
        <v>852</v>
      </c>
      <c r="B73" s="110" t="s">
        <v>832</v>
      </c>
      <c r="C73" s="136">
        <f ca="1">'3.0수량표'!I29</f>
        <v>15.399999999999999</v>
      </c>
      <c r="D73" s="110" t="s">
        <v>831</v>
      </c>
      <c r="E73" s="112">
        <f t="shared" si="5"/>
        <v>2618</v>
      </c>
      <c r="F73" s="112">
        <f ca="1">'8.0자재단가'!$I$9</f>
        <v>170</v>
      </c>
      <c r="G73" s="112">
        <f>INT(C73*F73)</f>
        <v>2618</v>
      </c>
      <c r="H73" s="112"/>
      <c r="I73" s="112"/>
      <c r="J73" s="112"/>
      <c r="K73" s="126"/>
      <c r="L73" s="137"/>
      <c r="M73" s="137"/>
      <c r="N73" s="137"/>
      <c r="O73" s="105"/>
    </row>
    <row r="74" spans="1:15" s="104" customFormat="1" ht="15" customHeight="1">
      <c r="A74" s="113" t="s">
        <v>853</v>
      </c>
      <c r="B74" s="114" t="s">
        <v>855</v>
      </c>
      <c r="C74" s="136">
        <f ca="1">'3.0수량표'!I30</f>
        <v>2.8</v>
      </c>
      <c r="D74" s="110" t="s">
        <v>811</v>
      </c>
      <c r="E74" s="112">
        <f t="shared" si="5"/>
        <v>560</v>
      </c>
      <c r="F74" s="112">
        <f ca="1">'8.0자재단가'!$I$10</f>
        <v>200</v>
      </c>
      <c r="G74" s="112">
        <f>INT(C74*F74)</f>
        <v>560</v>
      </c>
      <c r="H74" s="112"/>
      <c r="I74" s="112"/>
      <c r="J74" s="112"/>
      <c r="K74" s="126"/>
      <c r="L74" s="137"/>
      <c r="M74" s="137"/>
      <c r="N74" s="137"/>
      <c r="O74" s="105"/>
    </row>
    <row r="75" spans="1:15" s="104" customFormat="1" ht="15" customHeight="1">
      <c r="A75" s="113" t="s">
        <v>854</v>
      </c>
      <c r="B75" s="110" t="s">
        <v>833</v>
      </c>
      <c r="C75" s="136">
        <f ca="1">'3.0수량표'!I31</f>
        <v>0.7</v>
      </c>
      <c r="D75" s="110" t="s">
        <v>811</v>
      </c>
      <c r="E75" s="112">
        <f t="shared" si="5"/>
        <v>700</v>
      </c>
      <c r="F75" s="112">
        <f ca="1">'8.0자재단가'!$I$11</f>
        <v>1000</v>
      </c>
      <c r="G75" s="112">
        <f>INT(C75*F75)</f>
        <v>700</v>
      </c>
      <c r="H75" s="112"/>
      <c r="I75" s="112"/>
      <c r="J75" s="112"/>
      <c r="K75" s="126"/>
      <c r="L75" s="215"/>
      <c r="M75" s="137"/>
      <c r="N75" s="137"/>
      <c r="O75" s="105"/>
    </row>
    <row r="76" spans="1:15" s="104" customFormat="1" ht="15" customHeight="1">
      <c r="A76" s="113" t="s">
        <v>856</v>
      </c>
      <c r="B76" s="110" t="s">
        <v>834</v>
      </c>
      <c r="C76" s="136">
        <f ca="1">'3.0수량표'!I32</f>
        <v>30</v>
      </c>
      <c r="D76" s="110" t="s">
        <v>842</v>
      </c>
      <c r="E76" s="112">
        <f t="shared" si="5"/>
        <v>2400</v>
      </c>
      <c r="F76" s="112">
        <f ca="1">'8.0자재단가'!$I$14</f>
        <v>80</v>
      </c>
      <c r="G76" s="112">
        <f>INT(C76*F76)</f>
        <v>2400</v>
      </c>
      <c r="H76" s="112"/>
      <c r="I76" s="112"/>
      <c r="J76" s="112"/>
      <c r="K76" s="126"/>
      <c r="L76" s="137"/>
      <c r="M76" s="137"/>
      <c r="N76" s="137"/>
      <c r="O76" s="105"/>
    </row>
    <row r="77" spans="1:15" s="104" customFormat="1" ht="15" customHeight="1">
      <c r="A77" s="113" t="s">
        <v>884</v>
      </c>
      <c r="B77" s="110" t="s">
        <v>979</v>
      </c>
      <c r="C77" s="136">
        <f ca="1">'3.0수량표'!I33</f>
        <v>2</v>
      </c>
      <c r="D77" s="110" t="s">
        <v>965</v>
      </c>
      <c r="E77" s="112">
        <f t="shared" si="5"/>
        <v>314</v>
      </c>
      <c r="F77" s="112">
        <f>SUM(G72:G76)</f>
        <v>15728</v>
      </c>
      <c r="G77" s="112">
        <f>INT(C77*F77/100)</f>
        <v>314</v>
      </c>
      <c r="H77" s="112"/>
      <c r="I77" s="112"/>
      <c r="J77" s="112"/>
      <c r="K77" s="126"/>
      <c r="L77" s="137"/>
      <c r="M77" s="137"/>
      <c r="N77" s="137"/>
      <c r="O77" s="105"/>
    </row>
    <row r="78" spans="1:15" s="104" customFormat="1" ht="15" customHeight="1">
      <c r="A78" s="117" t="s">
        <v>906</v>
      </c>
      <c r="B78" s="110" t="s">
        <v>876</v>
      </c>
      <c r="C78" s="122">
        <f ca="1">'3.0수량표'!I34</f>
        <v>0.04</v>
      </c>
      <c r="D78" s="110" t="s">
        <v>843</v>
      </c>
      <c r="E78" s="112">
        <f t="shared" si="5"/>
        <v>998</v>
      </c>
      <c r="F78" s="112">
        <f ca="1">'9.0중기목록'!$F$6</f>
        <v>0</v>
      </c>
      <c r="G78" s="112">
        <f t="shared" ref="G78:G83" si="6">INT(C78*F78)</f>
        <v>0</v>
      </c>
      <c r="H78" s="112">
        <f ca="1">'9.0중기목록'!$E$6</f>
        <v>0</v>
      </c>
      <c r="I78" s="112">
        <f t="shared" ref="I78:I87" si="7">INT(C78*H78)</f>
        <v>0</v>
      </c>
      <c r="J78" s="112">
        <f ca="1">'9.0중기목록'!$G$6</f>
        <v>24973</v>
      </c>
      <c r="K78" s="126">
        <f t="shared" ref="K78:K83" si="8">INT(C78*J78)</f>
        <v>998</v>
      </c>
      <c r="L78" s="215"/>
      <c r="M78" s="137"/>
      <c r="N78" s="137"/>
      <c r="O78" s="105"/>
    </row>
    <row r="79" spans="1:15" s="104" customFormat="1" ht="15" customHeight="1">
      <c r="A79" s="117" t="s">
        <v>835</v>
      </c>
      <c r="B79" s="110" t="s">
        <v>844</v>
      </c>
      <c r="C79" s="122">
        <f ca="1">'3.0수량표'!I35</f>
        <v>0.04</v>
      </c>
      <c r="D79" s="110" t="s">
        <v>843</v>
      </c>
      <c r="E79" s="112">
        <f t="shared" si="5"/>
        <v>2191</v>
      </c>
      <c r="F79" s="112">
        <f ca="1">'9.0중기목록'!$F$8</f>
        <v>29577</v>
      </c>
      <c r="G79" s="112">
        <f t="shared" si="6"/>
        <v>1183</v>
      </c>
      <c r="H79" s="112">
        <f ca="1">'9.0중기목록'!$E$8</f>
        <v>20561</v>
      </c>
      <c r="I79" s="112">
        <f t="shared" si="7"/>
        <v>822</v>
      </c>
      <c r="J79" s="112">
        <f ca="1">'9.0중기목록'!$G$8</f>
        <v>4656</v>
      </c>
      <c r="K79" s="126">
        <f t="shared" si="8"/>
        <v>186</v>
      </c>
      <c r="L79" s="216"/>
      <c r="M79" s="217"/>
      <c r="N79" s="137"/>
      <c r="O79" s="105"/>
    </row>
    <row r="80" spans="1:15" s="104" customFormat="1" ht="15" customHeight="1">
      <c r="A80" s="117" t="s">
        <v>845</v>
      </c>
      <c r="B80" s="110" t="s">
        <v>863</v>
      </c>
      <c r="C80" s="122">
        <f ca="1">'3.0수량표'!I36</f>
        <v>0.04</v>
      </c>
      <c r="D80" s="110" t="s">
        <v>843</v>
      </c>
      <c r="E80" s="112">
        <f t="shared" si="5"/>
        <v>1713</v>
      </c>
      <c r="F80" s="112">
        <f ca="1">'9.0중기목록'!$F$10</f>
        <v>23409</v>
      </c>
      <c r="G80" s="112">
        <f t="shared" si="6"/>
        <v>936</v>
      </c>
      <c r="H80" s="112">
        <f ca="1">'9.0중기목록'!$E$10</f>
        <v>14915</v>
      </c>
      <c r="I80" s="112">
        <f t="shared" si="7"/>
        <v>596</v>
      </c>
      <c r="J80" s="112">
        <f ca="1">'9.0중기목록'!$G$10</f>
        <v>4533</v>
      </c>
      <c r="K80" s="126">
        <f t="shared" si="8"/>
        <v>181</v>
      </c>
      <c r="L80" s="137"/>
      <c r="M80" s="218"/>
      <c r="N80" s="137"/>
      <c r="O80" s="105"/>
    </row>
    <row r="81" spans="1:16" s="104" customFormat="1" ht="15" customHeight="1">
      <c r="A81" s="121" t="s">
        <v>885</v>
      </c>
      <c r="B81" s="110" t="s">
        <v>868</v>
      </c>
      <c r="C81" s="122">
        <f ca="1">'3.0수량표'!I37</f>
        <v>0.05</v>
      </c>
      <c r="D81" s="110" t="s">
        <v>843</v>
      </c>
      <c r="E81" s="112">
        <f t="shared" si="5"/>
        <v>1734</v>
      </c>
      <c r="F81" s="112">
        <f ca="1">'9.0중기목록'!$F$12</f>
        <v>6640</v>
      </c>
      <c r="G81" s="112">
        <f t="shared" si="6"/>
        <v>332</v>
      </c>
      <c r="H81" s="112">
        <f ca="1">'9.0중기목록'!$E$12</f>
        <v>17696</v>
      </c>
      <c r="I81" s="112">
        <f t="shared" si="7"/>
        <v>884</v>
      </c>
      <c r="J81" s="112">
        <f ca="1">'9.0중기목록'!$G$12</f>
        <v>10362</v>
      </c>
      <c r="K81" s="126">
        <f t="shared" si="8"/>
        <v>518</v>
      </c>
      <c r="L81" s="137"/>
      <c r="M81" s="137"/>
      <c r="N81" s="137"/>
      <c r="O81" s="105"/>
    </row>
    <row r="82" spans="1:16" s="104" customFormat="1" ht="15" customHeight="1">
      <c r="A82" s="113" t="s">
        <v>846</v>
      </c>
      <c r="B82" s="110" t="s">
        <v>847</v>
      </c>
      <c r="C82" s="122">
        <f ca="1">'3.0수량표'!I38</f>
        <v>0.04</v>
      </c>
      <c r="D82" s="110" t="s">
        <v>843</v>
      </c>
      <c r="E82" s="112">
        <f t="shared" si="5"/>
        <v>1543</v>
      </c>
      <c r="F82" s="112">
        <f ca="1">'9.0중기목록'!$F$14</f>
        <v>13117</v>
      </c>
      <c r="G82" s="112">
        <f t="shared" si="6"/>
        <v>524</v>
      </c>
      <c r="H82" s="112">
        <f ca="1">'9.0중기목록'!$E$14</f>
        <v>17696</v>
      </c>
      <c r="I82" s="112">
        <f t="shared" si="7"/>
        <v>707</v>
      </c>
      <c r="J82" s="112">
        <f ca="1">'9.0중기목록'!$G$14</f>
        <v>7823</v>
      </c>
      <c r="K82" s="126">
        <f t="shared" si="8"/>
        <v>312</v>
      </c>
      <c r="L82" s="137"/>
      <c r="M82" s="137"/>
      <c r="N82" s="137"/>
      <c r="O82" s="105"/>
    </row>
    <row r="83" spans="1:16" s="104" customFormat="1" ht="15" customHeight="1">
      <c r="A83" s="117" t="s">
        <v>836</v>
      </c>
      <c r="B83" s="110" t="s">
        <v>867</v>
      </c>
      <c r="C83" s="122">
        <f ca="1">'3.0수량표'!I39</f>
        <v>0.04</v>
      </c>
      <c r="D83" s="110" t="s">
        <v>843</v>
      </c>
      <c r="E83" s="112">
        <f t="shared" si="5"/>
        <v>1430</v>
      </c>
      <c r="F83" s="112">
        <f ca="1">'9.0중기목록'!$F$16</f>
        <v>11978</v>
      </c>
      <c r="G83" s="112">
        <f t="shared" si="6"/>
        <v>479</v>
      </c>
      <c r="H83" s="112">
        <f ca="1">'9.0중기목록'!$E$16</f>
        <v>17696</v>
      </c>
      <c r="I83" s="112">
        <f t="shared" si="7"/>
        <v>707</v>
      </c>
      <c r="J83" s="112">
        <f ca="1">'9.0중기목록'!$G$16</f>
        <v>6117</v>
      </c>
      <c r="K83" s="126">
        <f t="shared" si="8"/>
        <v>244</v>
      </c>
      <c r="L83" s="137"/>
      <c r="M83" s="137"/>
      <c r="N83" s="137"/>
      <c r="O83" s="105"/>
    </row>
    <row r="84" spans="1:16" s="104" customFormat="1" ht="15" customHeight="1">
      <c r="A84" s="113" t="s">
        <v>837</v>
      </c>
      <c r="B84" s="110"/>
      <c r="C84" s="122">
        <f ca="1">'3.0수량표'!I40</f>
        <v>6.0000000000000001E-3</v>
      </c>
      <c r="D84" s="110" t="s">
        <v>964</v>
      </c>
      <c r="E84" s="112">
        <f t="shared" si="5"/>
        <v>553</v>
      </c>
      <c r="F84" s="112"/>
      <c r="G84" s="112"/>
      <c r="H84" s="112">
        <f ca="1">'11.0시중노임'!$F$4</f>
        <v>92218</v>
      </c>
      <c r="I84" s="112">
        <f t="shared" si="7"/>
        <v>553</v>
      </c>
      <c r="J84" s="112"/>
      <c r="K84" s="126"/>
      <c r="L84" s="137"/>
      <c r="M84" s="137"/>
      <c r="N84" s="137"/>
      <c r="O84" s="105"/>
    </row>
    <row r="85" spans="1:16" s="104" customFormat="1" ht="15" customHeight="1">
      <c r="A85" s="113" t="s">
        <v>838</v>
      </c>
      <c r="B85" s="110"/>
      <c r="C85" s="122">
        <f ca="1">'3.0수량표'!I41</f>
        <v>2.7E-2</v>
      </c>
      <c r="D85" s="110" t="s">
        <v>964</v>
      </c>
      <c r="E85" s="112">
        <f t="shared" si="5"/>
        <v>2278</v>
      </c>
      <c r="F85" s="112"/>
      <c r="G85" s="112"/>
      <c r="H85" s="112">
        <f ca="1">'11.0시중노임'!$F$5</f>
        <v>84404</v>
      </c>
      <c r="I85" s="112">
        <f t="shared" si="7"/>
        <v>2278</v>
      </c>
      <c r="J85" s="112"/>
      <c r="K85" s="126"/>
      <c r="L85" s="137"/>
      <c r="M85" s="137"/>
      <c r="N85" s="137"/>
      <c r="O85" s="105"/>
    </row>
    <row r="86" spans="1:16" s="104" customFormat="1" ht="15" customHeight="1">
      <c r="A86" s="113" t="s">
        <v>848</v>
      </c>
      <c r="B86" s="110"/>
      <c r="C86" s="122">
        <f ca="1">'3.0수량표'!I42</f>
        <v>6.0000000000000001E-3</v>
      </c>
      <c r="D86" s="110" t="s">
        <v>964</v>
      </c>
      <c r="E86" s="112">
        <f t="shared" si="5"/>
        <v>519</v>
      </c>
      <c r="F86" s="112"/>
      <c r="G86" s="112"/>
      <c r="H86" s="112">
        <f ca="1">'11.0시중노임'!$F$12</f>
        <v>86521</v>
      </c>
      <c r="I86" s="112">
        <f t="shared" si="7"/>
        <v>519</v>
      </c>
      <c r="J86" s="112"/>
      <c r="K86" s="126"/>
      <c r="L86" s="137"/>
      <c r="M86" s="137"/>
      <c r="N86" s="137"/>
      <c r="O86" s="105"/>
    </row>
    <row r="87" spans="1:16" s="104" customFormat="1" ht="15" customHeight="1">
      <c r="A87" s="113" t="s">
        <v>839</v>
      </c>
      <c r="B87" s="110"/>
      <c r="C87" s="122">
        <f ca="1">'3.0수량표'!I43</f>
        <v>5.1999999999999998E-2</v>
      </c>
      <c r="D87" s="110" t="s">
        <v>964</v>
      </c>
      <c r="E87" s="112">
        <f t="shared" si="5"/>
        <v>3586</v>
      </c>
      <c r="F87" s="112"/>
      <c r="G87" s="112"/>
      <c r="H87" s="112">
        <f ca="1">'11.0시중노임'!$F$6</f>
        <v>68965</v>
      </c>
      <c r="I87" s="112">
        <f t="shared" si="7"/>
        <v>3586</v>
      </c>
      <c r="J87" s="112"/>
      <c r="K87" s="126"/>
      <c r="L87" s="137"/>
      <c r="M87" s="137"/>
      <c r="N87" s="137"/>
      <c r="O87" s="105"/>
    </row>
    <row r="88" spans="1:16" s="104" customFormat="1" ht="15" customHeight="1">
      <c r="A88" s="113" t="s">
        <v>840</v>
      </c>
      <c r="B88" s="110" t="s">
        <v>980</v>
      </c>
      <c r="C88" s="136">
        <f ca="1">'3.0수량표'!D44</f>
        <v>2</v>
      </c>
      <c r="D88" s="110" t="s">
        <v>965</v>
      </c>
      <c r="E88" s="112">
        <f t="shared" si="5"/>
        <v>138</v>
      </c>
      <c r="F88" s="112"/>
      <c r="G88" s="112"/>
      <c r="H88" s="112"/>
      <c r="I88" s="112"/>
      <c r="J88" s="112">
        <f>SUM(I84:I87)</f>
        <v>6936</v>
      </c>
      <c r="K88" s="126">
        <f>INT(C88*J88/100)</f>
        <v>138</v>
      </c>
      <c r="L88" s="137"/>
      <c r="M88" s="137"/>
      <c r="N88" s="137"/>
      <c r="O88" s="105"/>
    </row>
    <row r="89" spans="1:16" s="134" customFormat="1" ht="15" customHeight="1">
      <c r="A89" s="146" t="s">
        <v>849</v>
      </c>
      <c r="B89" s="147"/>
      <c r="C89" s="148"/>
      <c r="D89" s="147"/>
      <c r="E89" s="131">
        <f>G89+I89+K89</f>
        <v>32725</v>
      </c>
      <c r="F89" s="131"/>
      <c r="G89" s="131">
        <f>SUM(G72:G88)</f>
        <v>19496</v>
      </c>
      <c r="H89" s="131"/>
      <c r="I89" s="131">
        <f>SUM(I72:I88)</f>
        <v>10652</v>
      </c>
      <c r="J89" s="131"/>
      <c r="K89" s="149">
        <f>SUM(K72:K88)</f>
        <v>2577</v>
      </c>
      <c r="L89" s="137"/>
      <c r="M89" s="137"/>
      <c r="N89" s="137"/>
      <c r="O89" s="105"/>
      <c r="P89" s="104"/>
    </row>
    <row r="90" spans="1:16" s="134" customFormat="1" ht="15" customHeight="1">
      <c r="A90" s="146"/>
      <c r="B90" s="147"/>
      <c r="C90" s="148"/>
      <c r="D90" s="147"/>
      <c r="E90" s="131"/>
      <c r="F90" s="131"/>
      <c r="G90" s="131"/>
      <c r="H90" s="131"/>
      <c r="I90" s="131"/>
      <c r="J90" s="131"/>
      <c r="K90" s="149"/>
      <c r="L90" s="137"/>
      <c r="M90" s="137"/>
      <c r="N90" s="137"/>
      <c r="O90" s="105"/>
      <c r="P90" s="104"/>
    </row>
    <row r="91" spans="1:16" s="104" customFormat="1" ht="15" customHeight="1">
      <c r="A91" s="269"/>
      <c r="B91" s="111" t="s">
        <v>981</v>
      </c>
      <c r="C91" s="111"/>
      <c r="D91" s="110"/>
      <c r="E91" s="112"/>
      <c r="F91" s="111"/>
      <c r="G91" s="111"/>
      <c r="H91" s="111"/>
      <c r="I91" s="111"/>
      <c r="J91" s="111"/>
      <c r="K91" s="270"/>
      <c r="L91" s="137"/>
      <c r="M91" s="137"/>
      <c r="N91" s="137"/>
      <c r="O91" s="105"/>
    </row>
    <row r="92" spans="1:16" s="134" customFormat="1" ht="15" customHeight="1">
      <c r="A92" s="128" t="s">
        <v>886</v>
      </c>
      <c r="B92" s="129"/>
      <c r="C92" s="129"/>
      <c r="D92" s="130"/>
      <c r="E92" s="132">
        <f>E89+E70+E63+E57</f>
        <v>43342</v>
      </c>
      <c r="F92" s="132"/>
      <c r="G92" s="132">
        <f>G89+G70+G63+G57</f>
        <v>23465</v>
      </c>
      <c r="H92" s="132"/>
      <c r="I92" s="132">
        <f>I89+I70+I63+I57</f>
        <v>17163</v>
      </c>
      <c r="J92" s="132"/>
      <c r="K92" s="133">
        <f>K89+K70+K63+K57</f>
        <v>2714</v>
      </c>
      <c r="L92" s="137"/>
      <c r="M92" s="137"/>
      <c r="N92" s="137"/>
      <c r="O92" s="105"/>
      <c r="P92" s="104"/>
    </row>
    <row r="93" spans="1:16">
      <c r="P93" s="104"/>
    </row>
    <row r="94" spans="1:16" ht="26.1" customHeight="1">
      <c r="A94" s="1837" t="s">
        <v>1390</v>
      </c>
      <c r="B94" s="1837"/>
      <c r="C94" s="1837"/>
      <c r="D94" s="1837"/>
      <c r="E94" s="1837"/>
      <c r="F94" s="1837"/>
      <c r="G94" s="1837"/>
      <c r="H94" s="1837"/>
      <c r="I94" s="1837"/>
      <c r="J94" s="1837"/>
      <c r="K94" s="1837"/>
      <c r="P94" s="104"/>
    </row>
    <row r="95" spans="1:16" s="104" customFormat="1" ht="13.5" customHeight="1">
      <c r="A95" s="102"/>
      <c r="B95" s="102"/>
      <c r="C95" s="102"/>
      <c r="D95" s="103"/>
      <c r="E95" s="103"/>
      <c r="F95" s="102"/>
      <c r="G95" s="102"/>
      <c r="H95" s="102"/>
      <c r="I95" s="102"/>
      <c r="J95" s="102"/>
      <c r="K95" s="124" t="s">
        <v>977</v>
      </c>
      <c r="L95" s="211"/>
      <c r="M95" s="211"/>
      <c r="N95" s="211"/>
    </row>
    <row r="96" spans="1:16" s="104" customFormat="1" ht="20.100000000000001" customHeight="1">
      <c r="A96" s="1861" t="s">
        <v>821</v>
      </c>
      <c r="B96" s="1835" t="s">
        <v>822</v>
      </c>
      <c r="C96" s="1835" t="s">
        <v>823</v>
      </c>
      <c r="D96" s="1835" t="s">
        <v>824</v>
      </c>
      <c r="E96" s="1833" t="s">
        <v>828</v>
      </c>
      <c r="F96" s="1835" t="s">
        <v>825</v>
      </c>
      <c r="G96" s="1835"/>
      <c r="H96" s="1835" t="s">
        <v>826</v>
      </c>
      <c r="I96" s="1835"/>
      <c r="J96" s="1835" t="s">
        <v>827</v>
      </c>
      <c r="K96" s="1840"/>
      <c r="L96" s="211"/>
      <c r="M96" s="211"/>
      <c r="N96" s="211"/>
    </row>
    <row r="97" spans="1:16" s="105" customFormat="1" ht="20.100000000000001" customHeight="1">
      <c r="A97" s="1862"/>
      <c r="B97" s="1836"/>
      <c r="C97" s="1836"/>
      <c r="D97" s="1836"/>
      <c r="E97" s="1834"/>
      <c r="F97" s="398" t="s">
        <v>829</v>
      </c>
      <c r="G97" s="398" t="s">
        <v>830</v>
      </c>
      <c r="H97" s="398" t="s">
        <v>829</v>
      </c>
      <c r="I97" s="398" t="s">
        <v>830</v>
      </c>
      <c r="J97" s="398" t="s">
        <v>829</v>
      </c>
      <c r="K97" s="399" t="s">
        <v>830</v>
      </c>
      <c r="L97" s="137"/>
      <c r="M97" s="137"/>
      <c r="N97" s="137"/>
      <c r="P97" s="104"/>
    </row>
    <row r="98" spans="1:16" s="141" customFormat="1" ht="15" customHeight="1">
      <c r="A98" s="138" t="s">
        <v>1025</v>
      </c>
      <c r="B98" s="139"/>
      <c r="C98" s="139"/>
      <c r="D98" s="139"/>
      <c r="E98" s="139"/>
      <c r="F98" s="139"/>
      <c r="G98" s="139"/>
      <c r="H98" s="139"/>
      <c r="I98" s="139"/>
      <c r="J98" s="139"/>
      <c r="K98" s="140"/>
      <c r="P98" s="104"/>
    </row>
    <row r="99" spans="1:16" s="141" customFormat="1" ht="15" customHeight="1">
      <c r="A99" s="121" t="s">
        <v>1008</v>
      </c>
      <c r="B99" s="204" t="s">
        <v>1009</v>
      </c>
      <c r="C99" s="111">
        <f ca="1">'3.0수량표'!H5</f>
        <v>1.9E-2</v>
      </c>
      <c r="D99" s="110" t="s">
        <v>843</v>
      </c>
      <c r="E99" s="112">
        <f>G99+I99+K99</f>
        <v>813</v>
      </c>
      <c r="F99" s="112">
        <f ca="1">'9.0중기목록'!$F$10</f>
        <v>23409</v>
      </c>
      <c r="G99" s="112">
        <f ca="1">INT(C99*F99)</f>
        <v>444</v>
      </c>
      <c r="H99" s="112">
        <f ca="1">'9.0중기목록'!$E$10</f>
        <v>14915</v>
      </c>
      <c r="I99" s="112">
        <f ca="1">INT(C99*H99)</f>
        <v>283</v>
      </c>
      <c r="J99" s="112">
        <f ca="1">'9.0중기목록'!$G$10</f>
        <v>4533</v>
      </c>
      <c r="K99" s="126">
        <f>INT(C99*J99)</f>
        <v>86</v>
      </c>
      <c r="P99" s="104"/>
    </row>
    <row r="100" spans="1:16" s="141" customFormat="1" ht="15" customHeight="1">
      <c r="A100" s="121" t="s">
        <v>1010</v>
      </c>
      <c r="B100" s="204"/>
      <c r="C100" s="111">
        <f ca="1">'3.0수량표'!H6</f>
        <v>1.2E-2</v>
      </c>
      <c r="D100" s="139" t="s">
        <v>964</v>
      </c>
      <c r="E100" s="112">
        <f>G100+I100+K100</f>
        <v>954</v>
      </c>
      <c r="F100" s="112"/>
      <c r="G100" s="112"/>
      <c r="H100" s="112">
        <f ca="1">'11.0시중노임'!$F$3</f>
        <v>79533</v>
      </c>
      <c r="I100" s="112">
        <f>INT(C100*H100)</f>
        <v>954</v>
      </c>
      <c r="J100" s="139"/>
      <c r="K100" s="140"/>
      <c r="P100" s="104"/>
    </row>
    <row r="101" spans="1:16" s="141" customFormat="1" ht="15" customHeight="1">
      <c r="A101" s="121" t="s">
        <v>1011</v>
      </c>
      <c r="B101" s="204"/>
      <c r="C101" s="111">
        <f ca="1">'3.0수량표'!H7</f>
        <v>1.2E-2</v>
      </c>
      <c r="D101" s="139" t="s">
        <v>964</v>
      </c>
      <c r="E101" s="112">
        <f>G101+I101+K101</f>
        <v>827</v>
      </c>
      <c r="F101" s="112"/>
      <c r="G101" s="112"/>
      <c r="H101" s="112">
        <f ca="1">'11.0시중노임'!$F$6</f>
        <v>68965</v>
      </c>
      <c r="I101" s="112">
        <f>INT(C101*H101)</f>
        <v>827</v>
      </c>
      <c r="J101" s="139"/>
      <c r="K101" s="140"/>
      <c r="P101" s="104"/>
    </row>
    <row r="102" spans="1:16" s="141" customFormat="1" ht="15" customHeight="1">
      <c r="A102" s="121" t="s">
        <v>1012</v>
      </c>
      <c r="B102" s="110" t="s">
        <v>980</v>
      </c>
      <c r="C102" s="111">
        <f ca="1">'3.0수량표'!H8</f>
        <v>2.5</v>
      </c>
      <c r="D102" s="110" t="s">
        <v>965</v>
      </c>
      <c r="E102" s="112">
        <f>G102+I102+K102</f>
        <v>51</v>
      </c>
      <c r="F102" s="112"/>
      <c r="G102" s="112"/>
      <c r="H102" s="112"/>
      <c r="I102" s="112"/>
      <c r="J102" s="112">
        <f>SUM(I99:I101)</f>
        <v>2064</v>
      </c>
      <c r="K102" s="126">
        <f>INT(C102*J102/100)</f>
        <v>51</v>
      </c>
      <c r="P102" s="104"/>
    </row>
    <row r="103" spans="1:16" s="145" customFormat="1" ht="15" customHeight="1">
      <c r="A103" s="146" t="s">
        <v>849</v>
      </c>
      <c r="B103" s="143"/>
      <c r="C103" s="143"/>
      <c r="D103" s="143"/>
      <c r="E103" s="131">
        <f>G103+I103+K103</f>
        <v>2645</v>
      </c>
      <c r="F103" s="143"/>
      <c r="G103" s="142">
        <f>SUM(G99:G102)</f>
        <v>444</v>
      </c>
      <c r="H103" s="143"/>
      <c r="I103" s="142">
        <f>SUM(I99:I102)</f>
        <v>2064</v>
      </c>
      <c r="J103" s="143"/>
      <c r="K103" s="152">
        <f>SUM(K99:K102)</f>
        <v>137</v>
      </c>
      <c r="P103" s="104"/>
    </row>
    <row r="104" spans="1:16" s="141" customFormat="1" ht="15" customHeight="1">
      <c r="A104" s="138" t="s">
        <v>1026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40"/>
      <c r="P104" s="104"/>
    </row>
    <row r="105" spans="1:16" s="141" customFormat="1" ht="15" customHeight="1">
      <c r="A105" s="117" t="s">
        <v>872</v>
      </c>
      <c r="B105" s="139" t="s">
        <v>1013</v>
      </c>
      <c r="C105" s="139">
        <f ca="1">'3.0수량표'!H10</f>
        <v>0.23</v>
      </c>
      <c r="D105" s="139" t="s">
        <v>1014</v>
      </c>
      <c r="E105" s="112">
        <f>G105+I105+K105</f>
        <v>207</v>
      </c>
      <c r="F105" s="112">
        <f ca="1">'8.0자재단가'!$I$17</f>
        <v>900</v>
      </c>
      <c r="G105" s="112">
        <f>INT(C105*F105)</f>
        <v>207</v>
      </c>
      <c r="H105" s="139"/>
      <c r="I105" s="139"/>
      <c r="J105" s="139"/>
      <c r="K105" s="140"/>
      <c r="P105" s="104"/>
    </row>
    <row r="106" spans="1:16" s="141" customFormat="1" ht="15" customHeight="1">
      <c r="A106" s="117" t="s">
        <v>887</v>
      </c>
      <c r="B106" s="139" t="s">
        <v>873</v>
      </c>
      <c r="C106" s="139">
        <f ca="1">'3.0수량표'!H11</f>
        <v>0.5</v>
      </c>
      <c r="D106" s="139" t="s">
        <v>1014</v>
      </c>
      <c r="E106" s="112">
        <f>G106+I106+K106</f>
        <v>250</v>
      </c>
      <c r="F106" s="112">
        <f ca="1">'8.0자재단가'!I16</f>
        <v>500</v>
      </c>
      <c r="G106" s="112">
        <f>INT(C106*F106)</f>
        <v>250</v>
      </c>
      <c r="H106" s="139"/>
      <c r="I106" s="139"/>
      <c r="J106" s="139"/>
      <c r="K106" s="140"/>
      <c r="P106" s="104"/>
    </row>
    <row r="107" spans="1:16" s="141" customFormat="1" ht="15" customHeight="1">
      <c r="A107" s="117" t="s">
        <v>838</v>
      </c>
      <c r="B107" s="139"/>
      <c r="C107" s="139">
        <f ca="1">'3.0수량표'!H12</f>
        <v>6.0000000000000001E-3</v>
      </c>
      <c r="D107" s="139" t="s">
        <v>964</v>
      </c>
      <c r="E107" s="112">
        <f>G107+I107+K107</f>
        <v>506</v>
      </c>
      <c r="F107" s="112"/>
      <c r="G107" s="112"/>
      <c r="H107" s="112">
        <f ca="1">'11.0시중노임'!$F$5</f>
        <v>84404</v>
      </c>
      <c r="I107" s="112">
        <f>INT(C107*H107)</f>
        <v>506</v>
      </c>
      <c r="J107" s="139"/>
      <c r="K107" s="140"/>
      <c r="P107" s="104"/>
    </row>
    <row r="108" spans="1:16" s="141" customFormat="1" ht="15" customHeight="1">
      <c r="A108" s="117" t="s">
        <v>839</v>
      </c>
      <c r="B108" s="139"/>
      <c r="C108" s="139">
        <f ca="1">'3.0수량표'!H13</f>
        <v>6.0000000000000001E-3</v>
      </c>
      <c r="D108" s="139" t="s">
        <v>964</v>
      </c>
      <c r="E108" s="112">
        <f>G108+I108+K108</f>
        <v>413</v>
      </c>
      <c r="F108" s="112"/>
      <c r="G108" s="112"/>
      <c r="H108" s="112">
        <f ca="1">'11.0시중노임'!$F$6</f>
        <v>68965</v>
      </c>
      <c r="I108" s="112">
        <f>INT(C108*H108)</f>
        <v>413</v>
      </c>
      <c r="J108" s="139"/>
      <c r="K108" s="140"/>
      <c r="P108" s="104"/>
    </row>
    <row r="109" spans="1:16" s="141" customFormat="1" ht="15" customHeight="1">
      <c r="A109" s="146" t="s">
        <v>849</v>
      </c>
      <c r="B109" s="143"/>
      <c r="C109" s="111"/>
      <c r="D109" s="143"/>
      <c r="E109" s="131">
        <f>G109+I109+K109</f>
        <v>1376</v>
      </c>
      <c r="F109" s="143"/>
      <c r="G109" s="142">
        <f>SUM(G104:G108)</f>
        <v>457</v>
      </c>
      <c r="H109" s="143"/>
      <c r="I109" s="142">
        <f>SUM(I104:I108)</f>
        <v>919</v>
      </c>
      <c r="J109" s="143"/>
      <c r="K109" s="140"/>
      <c r="P109" s="104"/>
    </row>
    <row r="110" spans="1:16" s="137" customFormat="1" ht="15" customHeight="1">
      <c r="A110" s="138" t="s">
        <v>888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40"/>
      <c r="P110" s="104"/>
    </row>
    <row r="111" spans="1:16" s="141" customFormat="1" ht="15" customHeight="1">
      <c r="A111" s="121" t="s">
        <v>1015</v>
      </c>
      <c r="B111" s="205" t="s">
        <v>1024</v>
      </c>
      <c r="C111" s="153">
        <f ca="1">'3.0수량표'!H22</f>
        <v>1.3</v>
      </c>
      <c r="D111" s="204" t="s">
        <v>1016</v>
      </c>
      <c r="E111" s="112">
        <f>G111+I111+K111</f>
        <v>2873</v>
      </c>
      <c r="F111" s="202">
        <f ca="1">'8.0자재단가'!$I$19</f>
        <v>2210</v>
      </c>
      <c r="G111" s="112">
        <f>INT(C111*F111)</f>
        <v>2873</v>
      </c>
      <c r="H111" s="139"/>
      <c r="I111" s="139"/>
      <c r="J111" s="139"/>
      <c r="K111" s="140"/>
      <c r="P111" s="104"/>
    </row>
    <row r="112" spans="1:16" s="141" customFormat="1" ht="15" customHeight="1">
      <c r="A112" s="121" t="s">
        <v>1017</v>
      </c>
      <c r="B112" s="139" t="s">
        <v>1023</v>
      </c>
      <c r="C112" s="153">
        <f ca="1">'3.0수량표'!H23</f>
        <v>1.3</v>
      </c>
      <c r="D112" s="204" t="s">
        <v>1019</v>
      </c>
      <c r="E112" s="112">
        <f>G112+I112+K112</f>
        <v>195</v>
      </c>
      <c r="F112" s="202">
        <f ca="1">'8.0자재단가'!$I$20</f>
        <v>150</v>
      </c>
      <c r="G112" s="112">
        <f>INT(C112*F112)</f>
        <v>195</v>
      </c>
      <c r="H112" s="139"/>
      <c r="I112" s="139"/>
      <c r="J112" s="139"/>
      <c r="K112" s="140"/>
    </row>
    <row r="113" spans="1:14" s="141" customFormat="1" ht="15" customHeight="1">
      <c r="A113" s="117" t="s">
        <v>837</v>
      </c>
      <c r="B113" s="139"/>
      <c r="C113" s="151">
        <f ca="1">'3.0수량표'!H24</f>
        <v>5.0000000000000001E-3</v>
      </c>
      <c r="D113" s="139" t="s">
        <v>964</v>
      </c>
      <c r="E113" s="112">
        <f>G113+I113+K113</f>
        <v>461</v>
      </c>
      <c r="F113" s="112"/>
      <c r="G113" s="112"/>
      <c r="H113" s="112">
        <f ca="1">'11.0시중노임'!$F$4</f>
        <v>92218</v>
      </c>
      <c r="I113" s="112">
        <f>INT(C113*H113)</f>
        <v>461</v>
      </c>
      <c r="J113" s="112"/>
      <c r="K113" s="126"/>
    </row>
    <row r="114" spans="1:14" s="141" customFormat="1" ht="15" customHeight="1">
      <c r="A114" s="117" t="s">
        <v>838</v>
      </c>
      <c r="B114" s="139"/>
      <c r="C114" s="151">
        <f ca="1">'3.0수량표'!H25</f>
        <v>0.02</v>
      </c>
      <c r="D114" s="139" t="s">
        <v>964</v>
      </c>
      <c r="E114" s="112">
        <f>G114+I114+K114</f>
        <v>1688</v>
      </c>
      <c r="F114" s="112"/>
      <c r="G114" s="112"/>
      <c r="H114" s="112">
        <f ca="1">'11.0시중노임'!$F$5</f>
        <v>84404</v>
      </c>
      <c r="I114" s="112">
        <f>INT(C114*H114)</f>
        <v>1688</v>
      </c>
      <c r="J114" s="139"/>
      <c r="K114" s="140"/>
    </row>
    <row r="115" spans="1:14" s="141" customFormat="1" ht="15" customHeight="1">
      <c r="A115" s="117" t="s">
        <v>839</v>
      </c>
      <c r="B115" s="139"/>
      <c r="C115" s="151">
        <f ca="1">'3.0수량표'!H26</f>
        <v>0.02</v>
      </c>
      <c r="D115" s="139" t="s">
        <v>964</v>
      </c>
      <c r="E115" s="112">
        <f>G115+I115+K115</f>
        <v>1379</v>
      </c>
      <c r="F115" s="112"/>
      <c r="G115" s="112"/>
      <c r="H115" s="112">
        <f ca="1">'11.0시중노임'!$F$6</f>
        <v>68965</v>
      </c>
      <c r="I115" s="112">
        <f>INT(C115*H115)</f>
        <v>1379</v>
      </c>
      <c r="J115" s="139"/>
      <c r="K115" s="140"/>
    </row>
    <row r="116" spans="1:14" s="145" customFormat="1" ht="15" customHeight="1">
      <c r="A116" s="146" t="s">
        <v>849</v>
      </c>
      <c r="B116" s="143"/>
      <c r="C116" s="143"/>
      <c r="D116" s="143"/>
      <c r="E116" s="142">
        <f>SUM(E111:E115)</f>
        <v>6596</v>
      </c>
      <c r="F116" s="143"/>
      <c r="G116" s="142">
        <f>SUM(G111:G115)</f>
        <v>3068</v>
      </c>
      <c r="H116" s="143"/>
      <c r="I116" s="142">
        <f>SUM(I111:I115)</f>
        <v>3528</v>
      </c>
      <c r="J116" s="143"/>
      <c r="K116" s="144"/>
    </row>
    <row r="117" spans="1:14" s="137" customFormat="1" ht="15" customHeight="1">
      <c r="A117" s="138" t="s">
        <v>890</v>
      </c>
      <c r="B117" s="139"/>
      <c r="C117" s="139"/>
      <c r="D117" s="139"/>
      <c r="E117" s="139"/>
      <c r="F117" s="139"/>
      <c r="G117" s="139"/>
      <c r="H117" s="139"/>
      <c r="I117" s="139"/>
      <c r="J117" s="139"/>
      <c r="K117" s="140"/>
    </row>
    <row r="118" spans="1:14" s="105" customFormat="1" ht="15" customHeight="1">
      <c r="A118" s="113" t="s">
        <v>850</v>
      </c>
      <c r="B118" s="110" t="s">
        <v>851</v>
      </c>
      <c r="C118" s="159">
        <f ca="1">'3.0수량표'!J28</f>
        <v>90</v>
      </c>
      <c r="D118" s="110" t="s">
        <v>831</v>
      </c>
      <c r="E118" s="112">
        <f t="shared" ref="E118:E134" si="9">G118+I118+K118</f>
        <v>13500</v>
      </c>
      <c r="F118" s="112">
        <f ca="1">'8.0자재단가'!$I$8</f>
        <v>150</v>
      </c>
      <c r="G118" s="112">
        <f>INT(C118*F118)</f>
        <v>13500</v>
      </c>
      <c r="H118" s="112"/>
      <c r="I118" s="112"/>
      <c r="J118" s="112"/>
      <c r="K118" s="126"/>
      <c r="L118" s="137"/>
      <c r="M118" s="137"/>
      <c r="N118" s="137"/>
    </row>
    <row r="119" spans="1:14" s="104" customFormat="1" ht="15" customHeight="1">
      <c r="A119" s="106" t="s">
        <v>852</v>
      </c>
      <c r="B119" s="110" t="s">
        <v>832</v>
      </c>
      <c r="C119" s="159">
        <f ca="1">'3.0수량표'!J29</f>
        <v>21.999999999999996</v>
      </c>
      <c r="D119" s="110" t="s">
        <v>831</v>
      </c>
      <c r="E119" s="112">
        <f t="shared" si="9"/>
        <v>3740</v>
      </c>
      <c r="F119" s="112">
        <f ca="1">'8.0자재단가'!$I$9</f>
        <v>170</v>
      </c>
      <c r="G119" s="112">
        <f>INT(C119*F119)</f>
        <v>3740</v>
      </c>
      <c r="H119" s="112"/>
      <c r="I119" s="112"/>
      <c r="J119" s="112"/>
      <c r="K119" s="126"/>
      <c r="L119" s="211"/>
      <c r="M119" s="211"/>
      <c r="N119" s="211"/>
    </row>
    <row r="120" spans="1:14" s="104" customFormat="1" ht="15" customHeight="1">
      <c r="A120" s="113" t="s">
        <v>853</v>
      </c>
      <c r="B120" s="114" t="s">
        <v>855</v>
      </c>
      <c r="C120" s="159">
        <f ca="1">'3.0수량표'!J30</f>
        <v>3.9999999999999996</v>
      </c>
      <c r="D120" s="110" t="s">
        <v>811</v>
      </c>
      <c r="E120" s="112">
        <f t="shared" si="9"/>
        <v>800</v>
      </c>
      <c r="F120" s="112">
        <f ca="1">'8.0자재단가'!$I$10</f>
        <v>200</v>
      </c>
      <c r="G120" s="112">
        <f>INT(C120*F120)</f>
        <v>800</v>
      </c>
      <c r="H120" s="112"/>
      <c r="I120" s="112"/>
      <c r="J120" s="112"/>
      <c r="K120" s="126"/>
      <c r="L120" s="211"/>
      <c r="M120" s="212"/>
      <c r="N120" s="212"/>
    </row>
    <row r="121" spans="1:14" s="104" customFormat="1" ht="15" customHeight="1">
      <c r="A121" s="113" t="s">
        <v>854</v>
      </c>
      <c r="B121" s="110" t="s">
        <v>833</v>
      </c>
      <c r="C121" s="159">
        <f ca="1">'3.0수량표'!J31</f>
        <v>0.99999999999999989</v>
      </c>
      <c r="D121" s="110" t="s">
        <v>811</v>
      </c>
      <c r="E121" s="112">
        <f t="shared" si="9"/>
        <v>1000</v>
      </c>
      <c r="F121" s="112">
        <f ca="1">'8.0자재단가'!$I$11</f>
        <v>1000</v>
      </c>
      <c r="G121" s="112">
        <f>INT(C121*F121)</f>
        <v>1000</v>
      </c>
      <c r="H121" s="112"/>
      <c r="I121" s="112"/>
      <c r="J121" s="112"/>
      <c r="K121" s="126"/>
      <c r="L121" s="211"/>
      <c r="M121" s="211"/>
      <c r="N121" s="211"/>
    </row>
    <row r="122" spans="1:14" s="104" customFormat="1" ht="15" customHeight="1">
      <c r="A122" s="113" t="s">
        <v>856</v>
      </c>
      <c r="B122" s="110" t="s">
        <v>834</v>
      </c>
      <c r="C122" s="159">
        <f ca="1">'3.0수량표'!J32</f>
        <v>30</v>
      </c>
      <c r="D122" s="110" t="s">
        <v>842</v>
      </c>
      <c r="E122" s="112">
        <f t="shared" si="9"/>
        <v>2400</v>
      </c>
      <c r="F122" s="112">
        <f ca="1">'8.0자재단가'!$I$14</f>
        <v>80</v>
      </c>
      <c r="G122" s="112">
        <f>INT(C122*F122)</f>
        <v>2400</v>
      </c>
      <c r="H122" s="112"/>
      <c r="I122" s="112"/>
      <c r="J122" s="112"/>
      <c r="K122" s="126"/>
      <c r="L122" s="211"/>
      <c r="M122" s="211"/>
      <c r="N122" s="211"/>
    </row>
    <row r="123" spans="1:14" s="104" customFormat="1" ht="15" customHeight="1">
      <c r="A123" s="113" t="s">
        <v>884</v>
      </c>
      <c r="B123" s="110" t="s">
        <v>979</v>
      </c>
      <c r="C123" s="159">
        <f ca="1">'3.0수량표'!J33</f>
        <v>2</v>
      </c>
      <c r="D123" s="110" t="s">
        <v>965</v>
      </c>
      <c r="E123" s="112">
        <f t="shared" si="9"/>
        <v>428</v>
      </c>
      <c r="F123" s="112">
        <f>SUM(G118:G122)</f>
        <v>21440</v>
      </c>
      <c r="G123" s="112">
        <f>INT(C123*F123/100)</f>
        <v>428</v>
      </c>
      <c r="H123" s="112"/>
      <c r="I123" s="112"/>
      <c r="J123" s="112"/>
      <c r="K123" s="126"/>
      <c r="L123" s="211"/>
      <c r="M123" s="213"/>
      <c r="N123" s="211"/>
    </row>
    <row r="124" spans="1:14" s="104" customFormat="1" ht="15" customHeight="1">
      <c r="A124" s="117" t="s">
        <v>906</v>
      </c>
      <c r="B124" s="110" t="s">
        <v>876</v>
      </c>
      <c r="C124" s="160">
        <f ca="1">'3.0수량표'!J34</f>
        <v>5.2999999999999999E-2</v>
      </c>
      <c r="D124" s="110" t="s">
        <v>843</v>
      </c>
      <c r="E124" s="112">
        <f t="shared" si="9"/>
        <v>1323</v>
      </c>
      <c r="F124" s="112">
        <f ca="1">'9.0중기목록'!$F$6</f>
        <v>0</v>
      </c>
      <c r="G124" s="112">
        <f t="shared" ref="G124:G129" si="10">INT(C124*F124)</f>
        <v>0</v>
      </c>
      <c r="H124" s="112">
        <f ca="1">'9.0중기목록'!$E$6</f>
        <v>0</v>
      </c>
      <c r="I124" s="112">
        <f t="shared" ref="I124:I133" si="11">INT(C124*H124)</f>
        <v>0</v>
      </c>
      <c r="J124" s="112">
        <f ca="1">'9.0중기목록'!$G$6</f>
        <v>24973</v>
      </c>
      <c r="K124" s="126">
        <f t="shared" ref="K124:K129" si="12">INT(C124*J124)</f>
        <v>1323</v>
      </c>
      <c r="L124" s="211"/>
      <c r="M124" s="211"/>
      <c r="N124" s="211"/>
    </row>
    <row r="125" spans="1:14" s="104" customFormat="1" ht="15" customHeight="1">
      <c r="A125" s="117" t="s">
        <v>835</v>
      </c>
      <c r="B125" s="110" t="s">
        <v>844</v>
      </c>
      <c r="C125" s="160">
        <f ca="1">'3.0수량표'!J35</f>
        <v>5.2999999999999999E-2</v>
      </c>
      <c r="D125" s="110" t="s">
        <v>843</v>
      </c>
      <c r="E125" s="112">
        <f t="shared" si="9"/>
        <v>2902</v>
      </c>
      <c r="F125" s="112">
        <f ca="1">'9.0중기목록'!$F$8</f>
        <v>29577</v>
      </c>
      <c r="G125" s="112">
        <f t="shared" si="10"/>
        <v>1567</v>
      </c>
      <c r="H125" s="112">
        <f ca="1">'9.0중기목록'!$E$8</f>
        <v>20561</v>
      </c>
      <c r="I125" s="112">
        <f t="shared" si="11"/>
        <v>1089</v>
      </c>
      <c r="J125" s="112">
        <f ca="1">'9.0중기목록'!$G$8</f>
        <v>4656</v>
      </c>
      <c r="K125" s="126">
        <f t="shared" si="12"/>
        <v>246</v>
      </c>
      <c r="L125" s="211"/>
      <c r="M125" s="211"/>
      <c r="N125" s="211"/>
    </row>
    <row r="126" spans="1:14" s="104" customFormat="1" ht="15" customHeight="1">
      <c r="A126" s="117" t="s">
        <v>845</v>
      </c>
      <c r="B126" s="110" t="s">
        <v>863</v>
      </c>
      <c r="C126" s="160">
        <f ca="1">'3.0수량표'!J36</f>
        <v>5.2999999999999999E-2</v>
      </c>
      <c r="D126" s="110" t="s">
        <v>843</v>
      </c>
      <c r="E126" s="112">
        <f t="shared" si="9"/>
        <v>2270</v>
      </c>
      <c r="F126" s="112">
        <f ca="1">'9.0중기목록'!$F$10</f>
        <v>23409</v>
      </c>
      <c r="G126" s="112">
        <f t="shared" si="10"/>
        <v>1240</v>
      </c>
      <c r="H126" s="112">
        <f ca="1">'9.0중기목록'!$E$10</f>
        <v>14915</v>
      </c>
      <c r="I126" s="112">
        <f t="shared" si="11"/>
        <v>790</v>
      </c>
      <c r="J126" s="112">
        <f ca="1">'9.0중기목록'!$G$10</f>
        <v>4533</v>
      </c>
      <c r="K126" s="126">
        <f t="shared" si="12"/>
        <v>240</v>
      </c>
      <c r="L126" s="211"/>
      <c r="M126" s="211"/>
      <c r="N126" s="211"/>
    </row>
    <row r="127" spans="1:14" s="104" customFormat="1" ht="15" customHeight="1">
      <c r="A127" s="121" t="s">
        <v>885</v>
      </c>
      <c r="B127" s="110" t="s">
        <v>868</v>
      </c>
      <c r="C127" s="160">
        <f ca="1">'3.0수량표'!J37</f>
        <v>0.06</v>
      </c>
      <c r="D127" s="110" t="s">
        <v>843</v>
      </c>
      <c r="E127" s="112">
        <f t="shared" si="9"/>
        <v>2080</v>
      </c>
      <c r="F127" s="112">
        <f ca="1">'9.0중기목록'!$F$12</f>
        <v>6640</v>
      </c>
      <c r="G127" s="112">
        <f t="shared" si="10"/>
        <v>398</v>
      </c>
      <c r="H127" s="112">
        <f ca="1">'9.0중기목록'!$E$12</f>
        <v>17696</v>
      </c>
      <c r="I127" s="112">
        <f t="shared" si="11"/>
        <v>1061</v>
      </c>
      <c r="J127" s="112">
        <f ca="1">'9.0중기목록'!$G$12</f>
        <v>10362</v>
      </c>
      <c r="K127" s="126">
        <f t="shared" si="12"/>
        <v>621</v>
      </c>
      <c r="L127" s="211"/>
      <c r="M127" s="211"/>
      <c r="N127" s="211"/>
    </row>
    <row r="128" spans="1:14" s="104" customFormat="1" ht="15" customHeight="1">
      <c r="A128" s="113" t="s">
        <v>846</v>
      </c>
      <c r="B128" s="110" t="s">
        <v>847</v>
      </c>
      <c r="C128" s="160">
        <f ca="1">'3.0수량표'!J38</f>
        <v>5.2999999999999999E-2</v>
      </c>
      <c r="D128" s="110" t="s">
        <v>843</v>
      </c>
      <c r="E128" s="112">
        <f t="shared" si="9"/>
        <v>2046</v>
      </c>
      <c r="F128" s="112">
        <f ca="1">'9.0중기목록'!$F$14</f>
        <v>13117</v>
      </c>
      <c r="G128" s="112">
        <f t="shared" si="10"/>
        <v>695</v>
      </c>
      <c r="H128" s="112">
        <f ca="1">'9.0중기목록'!$E$14</f>
        <v>17696</v>
      </c>
      <c r="I128" s="112">
        <f t="shared" si="11"/>
        <v>937</v>
      </c>
      <c r="J128" s="112">
        <f ca="1">'9.0중기목록'!$G$14</f>
        <v>7823</v>
      </c>
      <c r="K128" s="126">
        <f t="shared" si="12"/>
        <v>414</v>
      </c>
      <c r="L128" s="211"/>
      <c r="M128" s="211"/>
      <c r="N128" s="211"/>
    </row>
    <row r="129" spans="1:14" s="104" customFormat="1" ht="15" customHeight="1">
      <c r="A129" s="117" t="s">
        <v>836</v>
      </c>
      <c r="B129" s="110" t="s">
        <v>867</v>
      </c>
      <c r="C129" s="160">
        <f ca="1">'3.0수량표'!J39</f>
        <v>5.2999999999999999E-2</v>
      </c>
      <c r="D129" s="110" t="s">
        <v>843</v>
      </c>
      <c r="E129" s="112">
        <f t="shared" si="9"/>
        <v>1895</v>
      </c>
      <c r="F129" s="112">
        <f ca="1">'9.0중기목록'!$F$16</f>
        <v>11978</v>
      </c>
      <c r="G129" s="112">
        <f t="shared" si="10"/>
        <v>634</v>
      </c>
      <c r="H129" s="112">
        <f ca="1">'9.0중기목록'!$E$16</f>
        <v>17696</v>
      </c>
      <c r="I129" s="112">
        <f t="shared" si="11"/>
        <v>937</v>
      </c>
      <c r="J129" s="112">
        <f ca="1">'9.0중기목록'!$G$16</f>
        <v>6117</v>
      </c>
      <c r="K129" s="126">
        <f t="shared" si="12"/>
        <v>324</v>
      </c>
      <c r="L129" s="211"/>
      <c r="M129" s="213"/>
      <c r="N129" s="211"/>
    </row>
    <row r="130" spans="1:14" s="104" customFormat="1" ht="15" customHeight="1">
      <c r="A130" s="113" t="s">
        <v>837</v>
      </c>
      <c r="B130" s="110"/>
      <c r="C130" s="160">
        <f ca="1">'3.0수량표'!J40</f>
        <v>8.0000000000000002E-3</v>
      </c>
      <c r="D130" s="110" t="s">
        <v>964</v>
      </c>
      <c r="E130" s="112">
        <f t="shared" si="9"/>
        <v>737</v>
      </c>
      <c r="F130" s="112"/>
      <c r="G130" s="112"/>
      <c r="H130" s="112">
        <f ca="1">'11.0시중노임'!$F$4</f>
        <v>92218</v>
      </c>
      <c r="I130" s="112">
        <f t="shared" si="11"/>
        <v>737</v>
      </c>
      <c r="J130" s="112"/>
      <c r="K130" s="126"/>
      <c r="L130" s="211"/>
      <c r="M130" s="211"/>
      <c r="N130" s="211"/>
    </row>
    <row r="131" spans="1:14" s="104" customFormat="1" ht="15" customHeight="1">
      <c r="A131" s="113" t="s">
        <v>838</v>
      </c>
      <c r="B131" s="110"/>
      <c r="C131" s="160">
        <f ca="1">'3.0수량표'!J41</f>
        <v>3.5000000000000003E-2</v>
      </c>
      <c r="D131" s="110" t="s">
        <v>964</v>
      </c>
      <c r="E131" s="112">
        <f t="shared" si="9"/>
        <v>2954</v>
      </c>
      <c r="F131" s="112"/>
      <c r="G131" s="112"/>
      <c r="H131" s="112">
        <f ca="1">'11.0시중노임'!$F$5</f>
        <v>84404</v>
      </c>
      <c r="I131" s="112">
        <f t="shared" si="11"/>
        <v>2954</v>
      </c>
      <c r="J131" s="112"/>
      <c r="K131" s="126"/>
      <c r="L131" s="211"/>
      <c r="M131" s="211"/>
      <c r="N131" s="211"/>
    </row>
    <row r="132" spans="1:14" s="104" customFormat="1" ht="15" customHeight="1">
      <c r="A132" s="113" t="s">
        <v>848</v>
      </c>
      <c r="B132" s="110"/>
      <c r="C132" s="160">
        <f ca="1">'3.0수량표'!J42</f>
        <v>8.0000000000000002E-3</v>
      </c>
      <c r="D132" s="110" t="s">
        <v>964</v>
      </c>
      <c r="E132" s="112">
        <f t="shared" si="9"/>
        <v>692</v>
      </c>
      <c r="F132" s="112"/>
      <c r="G132" s="112"/>
      <c r="H132" s="112">
        <f ca="1">'11.0시중노임'!$F$12</f>
        <v>86521</v>
      </c>
      <c r="I132" s="112">
        <f t="shared" si="11"/>
        <v>692</v>
      </c>
      <c r="J132" s="112"/>
      <c r="K132" s="126"/>
      <c r="L132" s="211"/>
      <c r="M132" s="211"/>
      <c r="N132" s="211"/>
    </row>
    <row r="133" spans="1:14" s="104" customFormat="1" ht="15" customHeight="1">
      <c r="A133" s="113" t="s">
        <v>839</v>
      </c>
      <c r="B133" s="110"/>
      <c r="C133" s="160">
        <f ca="1">'3.0수량표'!J43</f>
        <v>7.0000000000000007E-2</v>
      </c>
      <c r="D133" s="110" t="s">
        <v>964</v>
      </c>
      <c r="E133" s="112">
        <f t="shared" si="9"/>
        <v>4827</v>
      </c>
      <c r="F133" s="112"/>
      <c r="G133" s="112"/>
      <c r="H133" s="112">
        <f ca="1">'11.0시중노임'!$F$6</f>
        <v>68965</v>
      </c>
      <c r="I133" s="112">
        <f t="shared" si="11"/>
        <v>4827</v>
      </c>
      <c r="J133" s="112"/>
      <c r="K133" s="126"/>
      <c r="L133" s="211"/>
      <c r="M133" s="213"/>
      <c r="N133" s="211"/>
    </row>
    <row r="134" spans="1:14" s="104" customFormat="1" ht="15" customHeight="1">
      <c r="A134" s="113" t="s">
        <v>840</v>
      </c>
      <c r="B134" s="110" t="s">
        <v>980</v>
      </c>
      <c r="C134" s="159">
        <f ca="1">'3.0수량표'!D44</f>
        <v>2</v>
      </c>
      <c r="D134" s="110" t="s">
        <v>965</v>
      </c>
      <c r="E134" s="112">
        <f t="shared" si="9"/>
        <v>184</v>
      </c>
      <c r="F134" s="112"/>
      <c r="G134" s="112"/>
      <c r="H134" s="112"/>
      <c r="I134" s="112"/>
      <c r="J134" s="112">
        <f>SUM(I130:I133)</f>
        <v>9210</v>
      </c>
      <c r="K134" s="126">
        <f>INT(C134*J134/100)</f>
        <v>184</v>
      </c>
      <c r="L134" s="211"/>
      <c r="M134" s="211"/>
      <c r="N134" s="211"/>
    </row>
    <row r="135" spans="1:14" s="134" customFormat="1" ht="15" customHeight="1">
      <c r="A135" s="146" t="s">
        <v>849</v>
      </c>
      <c r="B135" s="147"/>
      <c r="C135" s="148"/>
      <c r="D135" s="147"/>
      <c r="E135" s="131">
        <f>G135+I135+K135</f>
        <v>43778</v>
      </c>
      <c r="F135" s="131"/>
      <c r="G135" s="131">
        <f>SUM(G118:G134)</f>
        <v>26402</v>
      </c>
      <c r="H135" s="131"/>
      <c r="I135" s="131">
        <f>SUM(I118:I134)</f>
        <v>14024</v>
      </c>
      <c r="J135" s="131"/>
      <c r="K135" s="149">
        <f>SUM(K118:K134)</f>
        <v>3352</v>
      </c>
      <c r="L135" s="214"/>
      <c r="M135" s="214"/>
      <c r="N135" s="214"/>
    </row>
    <row r="136" spans="1:14" s="134" customFormat="1" ht="15" customHeight="1">
      <c r="A136" s="146"/>
      <c r="B136" s="147"/>
      <c r="C136" s="148"/>
      <c r="D136" s="147"/>
      <c r="E136" s="131"/>
      <c r="F136" s="131"/>
      <c r="G136" s="131"/>
      <c r="H136" s="131"/>
      <c r="I136" s="131"/>
      <c r="J136" s="131"/>
      <c r="K136" s="149"/>
      <c r="L136" s="214"/>
      <c r="M136" s="214"/>
      <c r="N136" s="214"/>
    </row>
    <row r="137" spans="1:14" s="104" customFormat="1" ht="15" customHeight="1">
      <c r="A137" s="269"/>
      <c r="B137" s="111" t="s">
        <v>981</v>
      </c>
      <c r="C137" s="111"/>
      <c r="D137" s="110"/>
      <c r="E137" s="112"/>
      <c r="F137" s="111"/>
      <c r="G137" s="111"/>
      <c r="H137" s="111"/>
      <c r="I137" s="111"/>
      <c r="J137" s="111"/>
      <c r="K137" s="270"/>
      <c r="L137" s="211"/>
      <c r="M137" s="211"/>
      <c r="N137" s="211"/>
    </row>
    <row r="138" spans="1:14" s="134" customFormat="1" ht="15" customHeight="1">
      <c r="A138" s="128" t="s">
        <v>886</v>
      </c>
      <c r="B138" s="129"/>
      <c r="C138" s="129"/>
      <c r="D138" s="130"/>
      <c r="E138" s="132">
        <f>E135+E116+E109+E103</f>
        <v>54395</v>
      </c>
      <c r="F138" s="132"/>
      <c r="G138" s="132">
        <f>G135+G116+G109+G103</f>
        <v>30371</v>
      </c>
      <c r="H138" s="132"/>
      <c r="I138" s="132">
        <f>I135+I116+I109+I103</f>
        <v>20535</v>
      </c>
      <c r="J138" s="132"/>
      <c r="K138" s="133">
        <f>K135+K116+K109+K103</f>
        <v>3489</v>
      </c>
      <c r="L138" s="214"/>
      <c r="M138" s="214"/>
      <c r="N138" s="214"/>
    </row>
    <row r="140" spans="1:14" ht="26.1" customHeight="1">
      <c r="A140" s="1837" t="s">
        <v>1391</v>
      </c>
      <c r="B140" s="1837"/>
      <c r="C140" s="1837"/>
      <c r="D140" s="1837"/>
      <c r="E140" s="1837"/>
      <c r="F140" s="1837"/>
      <c r="G140" s="1837"/>
      <c r="H140" s="1837"/>
      <c r="I140" s="1837"/>
      <c r="J140" s="1837"/>
      <c r="K140" s="1837"/>
    </row>
    <row r="141" spans="1:14" s="104" customFormat="1" ht="13.5" customHeight="1">
      <c r="A141" s="102"/>
      <c r="B141" s="102"/>
      <c r="C141" s="102"/>
      <c r="D141" s="103"/>
      <c r="E141" s="103"/>
      <c r="F141" s="102"/>
      <c r="G141" s="102"/>
      <c r="H141" s="102"/>
      <c r="I141" s="102"/>
      <c r="J141" s="102"/>
      <c r="K141" s="124" t="s">
        <v>977</v>
      </c>
      <c r="L141" s="211"/>
      <c r="M141" s="211"/>
      <c r="N141" s="211"/>
    </row>
    <row r="142" spans="1:14" s="104" customFormat="1" ht="20.100000000000001" customHeight="1">
      <c r="A142" s="1861" t="s">
        <v>821</v>
      </c>
      <c r="B142" s="1835" t="s">
        <v>822</v>
      </c>
      <c r="C142" s="1835" t="s">
        <v>823</v>
      </c>
      <c r="D142" s="1835" t="s">
        <v>824</v>
      </c>
      <c r="E142" s="1833" t="s">
        <v>828</v>
      </c>
      <c r="F142" s="1835" t="s">
        <v>825</v>
      </c>
      <c r="G142" s="1835"/>
      <c r="H142" s="1835" t="s">
        <v>826</v>
      </c>
      <c r="I142" s="1835"/>
      <c r="J142" s="1835" t="s">
        <v>827</v>
      </c>
      <c r="K142" s="1840"/>
      <c r="L142" s="211"/>
      <c r="M142" s="211"/>
      <c r="N142" s="211"/>
    </row>
    <row r="143" spans="1:14" s="105" customFormat="1" ht="20.100000000000001" customHeight="1">
      <c r="A143" s="1862"/>
      <c r="B143" s="1836"/>
      <c r="C143" s="1836"/>
      <c r="D143" s="1836"/>
      <c r="E143" s="1834"/>
      <c r="F143" s="398" t="s">
        <v>829</v>
      </c>
      <c r="G143" s="398" t="s">
        <v>830</v>
      </c>
      <c r="H143" s="398" t="s">
        <v>829</v>
      </c>
      <c r="I143" s="398" t="s">
        <v>830</v>
      </c>
      <c r="J143" s="398" t="s">
        <v>829</v>
      </c>
      <c r="K143" s="399" t="s">
        <v>830</v>
      </c>
      <c r="L143" s="137"/>
      <c r="M143" s="137"/>
      <c r="N143" s="137"/>
    </row>
    <row r="144" spans="1:14" s="141" customFormat="1" ht="15" customHeight="1">
      <c r="A144" s="138" t="s">
        <v>1025</v>
      </c>
      <c r="B144" s="139"/>
      <c r="C144" s="139"/>
      <c r="D144" s="139"/>
      <c r="E144" s="139"/>
      <c r="F144" s="139"/>
      <c r="G144" s="139"/>
      <c r="H144" s="139"/>
      <c r="I144" s="139"/>
      <c r="J144" s="139"/>
      <c r="K144" s="140"/>
    </row>
    <row r="145" spans="1:11" s="141" customFormat="1" ht="15" customHeight="1">
      <c r="A145" s="117" t="s">
        <v>1027</v>
      </c>
      <c r="B145" s="204" t="s">
        <v>1009</v>
      </c>
      <c r="C145" s="111">
        <f ca="1">'3.0수량표'!K5</f>
        <v>2.3E-2</v>
      </c>
      <c r="D145" s="110" t="s">
        <v>843</v>
      </c>
      <c r="E145" s="112">
        <f>G145+I145+K145</f>
        <v>985</v>
      </c>
      <c r="F145" s="112">
        <f ca="1">'9.0중기목록'!$F$10</f>
        <v>23409</v>
      </c>
      <c r="G145" s="112">
        <f ca="1">INT(C145*F145)</f>
        <v>538</v>
      </c>
      <c r="H145" s="112">
        <f ca="1">'9.0중기목록'!$E$10</f>
        <v>14915</v>
      </c>
      <c r="I145" s="112">
        <f ca="1">INT(C145*H145)</f>
        <v>343</v>
      </c>
      <c r="J145" s="112">
        <f ca="1">'9.0중기목록'!$G$10</f>
        <v>4533</v>
      </c>
      <c r="K145" s="126">
        <f>INT(C145*J145)</f>
        <v>104</v>
      </c>
    </row>
    <row r="146" spans="1:11" s="141" customFormat="1" ht="15" customHeight="1">
      <c r="A146" s="117" t="s">
        <v>1028</v>
      </c>
      <c r="B146" s="204"/>
      <c r="C146" s="122">
        <f ca="1">'3.0수량표'!K6</f>
        <v>1.4E-2</v>
      </c>
      <c r="D146" s="139" t="s">
        <v>964</v>
      </c>
      <c r="E146" s="112">
        <f>G146+I146+K146</f>
        <v>1113</v>
      </c>
      <c r="F146" s="112"/>
      <c r="G146" s="112"/>
      <c r="H146" s="112">
        <f ca="1">'11.0시중노임'!$F$3</f>
        <v>79533</v>
      </c>
      <c r="I146" s="112">
        <f>INT(C146*H146)</f>
        <v>1113</v>
      </c>
      <c r="J146" s="139"/>
      <c r="K146" s="140"/>
    </row>
    <row r="147" spans="1:11" s="141" customFormat="1" ht="15" customHeight="1">
      <c r="A147" s="117" t="s">
        <v>1029</v>
      </c>
      <c r="B147" s="204"/>
      <c r="C147" s="122">
        <f ca="1">'3.0수량표'!K7</f>
        <v>1.4E-2</v>
      </c>
      <c r="D147" s="139" t="s">
        <v>964</v>
      </c>
      <c r="E147" s="112">
        <f>G147+I147+K147</f>
        <v>965</v>
      </c>
      <c r="F147" s="112"/>
      <c r="G147" s="112"/>
      <c r="H147" s="112">
        <f ca="1">'11.0시중노임'!$F$6</f>
        <v>68965</v>
      </c>
      <c r="I147" s="112">
        <f>INT(C147*H147)</f>
        <v>965</v>
      </c>
      <c r="J147" s="139"/>
      <c r="K147" s="140"/>
    </row>
    <row r="148" spans="1:11" s="141" customFormat="1" ht="15" customHeight="1">
      <c r="A148" s="121" t="s">
        <v>1012</v>
      </c>
      <c r="B148" s="110" t="s">
        <v>980</v>
      </c>
      <c r="C148" s="111">
        <f ca="1">'3.0수량표'!K8</f>
        <v>2.5</v>
      </c>
      <c r="D148" s="110" t="s">
        <v>965</v>
      </c>
      <c r="E148" s="112">
        <f>G148+I148+K148</f>
        <v>60</v>
      </c>
      <c r="F148" s="112"/>
      <c r="G148" s="112"/>
      <c r="H148" s="112"/>
      <c r="I148" s="112"/>
      <c r="J148" s="112">
        <f>SUM(I145:I147)</f>
        <v>2421</v>
      </c>
      <c r="K148" s="126">
        <f>INT(C148*J148/100)</f>
        <v>60</v>
      </c>
    </row>
    <row r="149" spans="1:11" s="145" customFormat="1" ht="15" customHeight="1">
      <c r="A149" s="146" t="s">
        <v>849</v>
      </c>
      <c r="B149" s="143"/>
      <c r="C149" s="143"/>
      <c r="D149" s="143"/>
      <c r="E149" s="131">
        <f>G149+I149+K149</f>
        <v>3123</v>
      </c>
      <c r="F149" s="143"/>
      <c r="G149" s="142">
        <f>SUM(G145:G148)</f>
        <v>538</v>
      </c>
      <c r="H149" s="143"/>
      <c r="I149" s="142">
        <f>SUM(I145:I148)</f>
        <v>2421</v>
      </c>
      <c r="J149" s="143"/>
      <c r="K149" s="152">
        <f>SUM(K145:K148)</f>
        <v>164</v>
      </c>
    </row>
    <row r="150" spans="1:11" s="141" customFormat="1" ht="15" customHeight="1">
      <c r="A150" s="138" t="s">
        <v>1026</v>
      </c>
      <c r="B150" s="139"/>
      <c r="C150" s="139"/>
      <c r="D150" s="139"/>
      <c r="E150" s="139"/>
      <c r="F150" s="139"/>
      <c r="G150" s="139"/>
      <c r="H150" s="139"/>
      <c r="I150" s="139"/>
      <c r="J150" s="139"/>
      <c r="K150" s="140"/>
    </row>
    <row r="151" spans="1:11" s="141" customFormat="1" ht="15" customHeight="1">
      <c r="A151" s="117" t="s">
        <v>872</v>
      </c>
      <c r="B151" s="139" t="s">
        <v>1013</v>
      </c>
      <c r="C151" s="139">
        <f ca="1">'3.0수량표'!K10</f>
        <v>0.27600000000000002</v>
      </c>
      <c r="D151" s="139" t="s">
        <v>1014</v>
      </c>
      <c r="E151" s="112">
        <f>G151+I151+K151</f>
        <v>248</v>
      </c>
      <c r="F151" s="112">
        <f ca="1">'8.0자재단가'!$I$17</f>
        <v>900</v>
      </c>
      <c r="G151" s="112">
        <f>INT(C151*F151)</f>
        <v>248</v>
      </c>
      <c r="H151" s="139"/>
      <c r="I151" s="139"/>
      <c r="J151" s="139"/>
      <c r="K151" s="140"/>
    </row>
    <row r="152" spans="1:11" s="141" customFormat="1" ht="15" customHeight="1">
      <c r="A152" s="117" t="s">
        <v>887</v>
      </c>
      <c r="B152" s="139" t="s">
        <v>873</v>
      </c>
      <c r="C152" s="139">
        <f ca="1">'3.0수량표'!K11</f>
        <v>0.6</v>
      </c>
      <c r="D152" s="139" t="s">
        <v>1014</v>
      </c>
      <c r="E152" s="112">
        <f>G152+I152+K152</f>
        <v>300</v>
      </c>
      <c r="F152" s="112">
        <f ca="1">'8.0자재단가'!I16</f>
        <v>500</v>
      </c>
      <c r="G152" s="112">
        <f>INT(C152*F152)</f>
        <v>300</v>
      </c>
      <c r="H152" s="139"/>
      <c r="I152" s="139"/>
      <c r="J152" s="139"/>
      <c r="K152" s="140"/>
    </row>
    <row r="153" spans="1:11" s="141" customFormat="1" ht="15" customHeight="1">
      <c r="A153" s="117" t="s">
        <v>838</v>
      </c>
      <c r="B153" s="139"/>
      <c r="C153" s="139">
        <f ca="1">'3.0수량표'!K12</f>
        <v>7.0000000000000001E-3</v>
      </c>
      <c r="D153" s="139" t="s">
        <v>964</v>
      </c>
      <c r="E153" s="112">
        <f>G153+I153+K153</f>
        <v>590</v>
      </c>
      <c r="F153" s="112"/>
      <c r="G153" s="112"/>
      <c r="H153" s="112">
        <f ca="1">'11.0시중노임'!$F$5</f>
        <v>84404</v>
      </c>
      <c r="I153" s="112">
        <f>INT(C153*H153)</f>
        <v>590</v>
      </c>
      <c r="J153" s="139"/>
      <c r="K153" s="140"/>
    </row>
    <row r="154" spans="1:11" s="141" customFormat="1" ht="15" customHeight="1">
      <c r="A154" s="117" t="s">
        <v>839</v>
      </c>
      <c r="B154" s="139"/>
      <c r="C154" s="139">
        <f ca="1">'3.0수량표'!K13</f>
        <v>7.0000000000000001E-3</v>
      </c>
      <c r="D154" s="139" t="s">
        <v>964</v>
      </c>
      <c r="E154" s="112">
        <f>G154+I154+K154</f>
        <v>482</v>
      </c>
      <c r="F154" s="112"/>
      <c r="G154" s="112"/>
      <c r="H154" s="112">
        <f ca="1">'11.0시중노임'!$F$6</f>
        <v>68965</v>
      </c>
      <c r="I154" s="112">
        <f>INT(C154*H154)</f>
        <v>482</v>
      </c>
      <c r="J154" s="139"/>
      <c r="K154" s="140"/>
    </row>
    <row r="155" spans="1:11" s="141" customFormat="1" ht="15" customHeight="1">
      <c r="A155" s="146" t="s">
        <v>849</v>
      </c>
      <c r="B155" s="143"/>
      <c r="C155" s="143"/>
      <c r="D155" s="143"/>
      <c r="E155" s="131">
        <f>G155+I155+K155</f>
        <v>1620</v>
      </c>
      <c r="F155" s="143"/>
      <c r="G155" s="142">
        <f>SUM(G150:G154)</f>
        <v>548</v>
      </c>
      <c r="H155" s="143"/>
      <c r="I155" s="142">
        <f>SUM(I150:I154)</f>
        <v>1072</v>
      </c>
      <c r="J155" s="143"/>
      <c r="K155" s="140"/>
    </row>
    <row r="156" spans="1:11" s="137" customFormat="1" ht="15" customHeight="1">
      <c r="A156" s="138" t="s">
        <v>888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40"/>
    </row>
    <row r="157" spans="1:11" s="141" customFormat="1" ht="15" customHeight="1">
      <c r="A157" s="121" t="s">
        <v>1015</v>
      </c>
      <c r="B157" s="205" t="s">
        <v>1024</v>
      </c>
      <c r="C157" s="153">
        <f ca="1">'3.0수량표'!K22</f>
        <v>1.56</v>
      </c>
      <c r="D157" s="204" t="s">
        <v>1016</v>
      </c>
      <c r="E157" s="112">
        <f>G157+I157+K157</f>
        <v>3447</v>
      </c>
      <c r="F157" s="202">
        <f ca="1">'8.0자재단가'!$I$19</f>
        <v>2210</v>
      </c>
      <c r="G157" s="112">
        <f>INT(C157*F157)</f>
        <v>3447</v>
      </c>
      <c r="H157" s="139"/>
      <c r="I157" s="139"/>
      <c r="J157" s="139"/>
      <c r="K157" s="140"/>
    </row>
    <row r="158" spans="1:11" s="141" customFormat="1" ht="15" customHeight="1">
      <c r="A158" s="121" t="s">
        <v>1017</v>
      </c>
      <c r="B158" s="139" t="s">
        <v>1023</v>
      </c>
      <c r="C158" s="153">
        <f ca="1">'3.0수량표'!K23</f>
        <v>1.56</v>
      </c>
      <c r="D158" s="204" t="s">
        <v>1019</v>
      </c>
      <c r="E158" s="112">
        <f>G158+I158+K158</f>
        <v>234</v>
      </c>
      <c r="F158" s="202">
        <f ca="1">'8.0자재단가'!$I$20</f>
        <v>150</v>
      </c>
      <c r="G158" s="112">
        <f>INT(C158*F158)</f>
        <v>234</v>
      </c>
      <c r="H158" s="139"/>
      <c r="I158" s="139"/>
      <c r="J158" s="139"/>
      <c r="K158" s="140"/>
    </row>
    <row r="159" spans="1:11" s="141" customFormat="1" ht="15" customHeight="1">
      <c r="A159" s="117" t="s">
        <v>837</v>
      </c>
      <c r="B159" s="139"/>
      <c r="C159" s="151">
        <f ca="1">'3.0수량표'!K24</f>
        <v>6.0000000000000001E-3</v>
      </c>
      <c r="D159" s="139" t="s">
        <v>964</v>
      </c>
      <c r="E159" s="112">
        <f>G159+I159+K159</f>
        <v>553</v>
      </c>
      <c r="F159" s="112"/>
      <c r="G159" s="112"/>
      <c r="H159" s="112">
        <f ca="1">'11.0시중노임'!$F$4</f>
        <v>92218</v>
      </c>
      <c r="I159" s="112">
        <f>INT(C159*H159)</f>
        <v>553</v>
      </c>
      <c r="J159" s="112"/>
      <c r="K159" s="126"/>
    </row>
    <row r="160" spans="1:11" s="141" customFormat="1" ht="15" customHeight="1">
      <c r="A160" s="117" t="s">
        <v>838</v>
      </c>
      <c r="B160" s="139"/>
      <c r="C160" s="151">
        <f ca="1">'3.0수량표'!K25</f>
        <v>2.4E-2</v>
      </c>
      <c r="D160" s="139" t="s">
        <v>964</v>
      </c>
      <c r="E160" s="112">
        <f>G160+I160+K160</f>
        <v>2025</v>
      </c>
      <c r="F160" s="112"/>
      <c r="G160" s="112"/>
      <c r="H160" s="112">
        <f ca="1">'11.0시중노임'!$F$5</f>
        <v>84404</v>
      </c>
      <c r="I160" s="112">
        <f>INT(C160*H160)</f>
        <v>2025</v>
      </c>
      <c r="J160" s="139"/>
      <c r="K160" s="140"/>
    </row>
    <row r="161" spans="1:14" s="141" customFormat="1" ht="15" customHeight="1">
      <c r="A161" s="117" t="s">
        <v>839</v>
      </c>
      <c r="B161" s="139"/>
      <c r="C161" s="151">
        <f ca="1">'3.0수량표'!K26</f>
        <v>2.4E-2</v>
      </c>
      <c r="D161" s="139" t="s">
        <v>964</v>
      </c>
      <c r="E161" s="112">
        <f>G161+I161+K161</f>
        <v>1655</v>
      </c>
      <c r="F161" s="112"/>
      <c r="G161" s="112"/>
      <c r="H161" s="112">
        <f ca="1">'11.0시중노임'!$F$6</f>
        <v>68965</v>
      </c>
      <c r="I161" s="112">
        <f>INT(C161*H161)</f>
        <v>1655</v>
      </c>
      <c r="J161" s="139"/>
      <c r="K161" s="140"/>
    </row>
    <row r="162" spans="1:14" s="145" customFormat="1" ht="15" customHeight="1">
      <c r="A162" s="146" t="s">
        <v>849</v>
      </c>
      <c r="B162" s="143"/>
      <c r="C162" s="143"/>
      <c r="D162" s="143"/>
      <c r="E162" s="142">
        <f>SUM(E157:E161)</f>
        <v>7914</v>
      </c>
      <c r="F162" s="143"/>
      <c r="G162" s="142">
        <f>SUM(G157:G161)</f>
        <v>3681</v>
      </c>
      <c r="H162" s="143"/>
      <c r="I162" s="142">
        <f>SUM(I157:I161)</f>
        <v>4233</v>
      </c>
      <c r="J162" s="143"/>
      <c r="K162" s="144"/>
    </row>
    <row r="163" spans="1:14" s="137" customFormat="1" ht="15" customHeight="1">
      <c r="A163" s="138" t="s">
        <v>890</v>
      </c>
      <c r="B163" s="139"/>
      <c r="C163" s="139"/>
      <c r="D163" s="139"/>
      <c r="E163" s="139"/>
      <c r="F163" s="139"/>
      <c r="G163" s="139"/>
      <c r="H163" s="139"/>
      <c r="I163" s="139"/>
      <c r="J163" s="139"/>
      <c r="K163" s="140"/>
    </row>
    <row r="164" spans="1:14" s="105" customFormat="1" ht="15" customHeight="1">
      <c r="A164" s="113" t="s">
        <v>850</v>
      </c>
      <c r="B164" s="110" t="s">
        <v>851</v>
      </c>
      <c r="C164" s="159">
        <f ca="1">'3.0수량표'!K28</f>
        <v>108</v>
      </c>
      <c r="D164" s="110" t="s">
        <v>831</v>
      </c>
      <c r="E164" s="112">
        <f t="shared" ref="E164:E180" si="13">G164+I164+K164</f>
        <v>16200</v>
      </c>
      <c r="F164" s="112">
        <f ca="1">'8.0자재단가'!$I$8</f>
        <v>150</v>
      </c>
      <c r="G164" s="112">
        <f>INT(C164*F164)</f>
        <v>16200</v>
      </c>
      <c r="H164" s="112"/>
      <c r="I164" s="112"/>
      <c r="J164" s="112"/>
      <c r="K164" s="126"/>
      <c r="L164" s="137"/>
      <c r="M164" s="137"/>
      <c r="N164" s="137"/>
    </row>
    <row r="165" spans="1:14" s="104" customFormat="1" ht="15" customHeight="1">
      <c r="A165" s="106" t="s">
        <v>852</v>
      </c>
      <c r="B165" s="110" t="s">
        <v>832</v>
      </c>
      <c r="C165" s="159">
        <f ca="1">'3.0수량표'!K29</f>
        <v>26.4</v>
      </c>
      <c r="D165" s="110" t="s">
        <v>831</v>
      </c>
      <c r="E165" s="112">
        <f t="shared" si="13"/>
        <v>4488</v>
      </c>
      <c r="F165" s="112">
        <f ca="1">'8.0자재단가'!$I$9</f>
        <v>170</v>
      </c>
      <c r="G165" s="112">
        <f>INT(C165*F165)</f>
        <v>4488</v>
      </c>
      <c r="H165" s="112"/>
      <c r="I165" s="112"/>
      <c r="J165" s="112"/>
      <c r="K165" s="126"/>
      <c r="L165" s="211"/>
      <c r="M165" s="211"/>
      <c r="N165" s="211"/>
    </row>
    <row r="166" spans="1:14" s="104" customFormat="1" ht="15" customHeight="1">
      <c r="A166" s="113" t="s">
        <v>853</v>
      </c>
      <c r="B166" s="114" t="s">
        <v>855</v>
      </c>
      <c r="C166" s="159">
        <f ca="1">'3.0수량표'!K30</f>
        <v>4.8</v>
      </c>
      <c r="D166" s="110" t="s">
        <v>811</v>
      </c>
      <c r="E166" s="112">
        <f t="shared" si="13"/>
        <v>960</v>
      </c>
      <c r="F166" s="112">
        <f ca="1">'8.0자재단가'!$I$10</f>
        <v>200</v>
      </c>
      <c r="G166" s="112">
        <f>INT(C166*F166)</f>
        <v>960</v>
      </c>
      <c r="H166" s="112"/>
      <c r="I166" s="112"/>
      <c r="J166" s="112"/>
      <c r="K166" s="126"/>
      <c r="L166" s="211"/>
      <c r="M166" s="212"/>
      <c r="N166" s="212"/>
    </row>
    <row r="167" spans="1:14" s="104" customFormat="1" ht="15" customHeight="1">
      <c r="A167" s="113" t="s">
        <v>854</v>
      </c>
      <c r="B167" s="110" t="s">
        <v>833</v>
      </c>
      <c r="C167" s="159">
        <f ca="1">'3.0수량표'!K31</f>
        <v>1.2</v>
      </c>
      <c r="D167" s="110" t="s">
        <v>811</v>
      </c>
      <c r="E167" s="112">
        <f t="shared" si="13"/>
        <v>1200</v>
      </c>
      <c r="F167" s="112">
        <f ca="1">'8.0자재단가'!$I$11</f>
        <v>1000</v>
      </c>
      <c r="G167" s="112">
        <f>INT(C167*F167)</f>
        <v>1200</v>
      </c>
      <c r="H167" s="112"/>
      <c r="I167" s="112"/>
      <c r="J167" s="112"/>
      <c r="K167" s="126"/>
      <c r="L167" s="211"/>
      <c r="M167" s="211"/>
      <c r="N167" s="211"/>
    </row>
    <row r="168" spans="1:14" s="104" customFormat="1" ht="15" customHeight="1">
      <c r="A168" s="113" t="s">
        <v>856</v>
      </c>
      <c r="B168" s="110" t="s">
        <v>834</v>
      </c>
      <c r="C168" s="159">
        <f ca="1">'3.0수량표'!K32</f>
        <v>30</v>
      </c>
      <c r="D168" s="110" t="s">
        <v>842</v>
      </c>
      <c r="E168" s="112">
        <f t="shared" si="13"/>
        <v>2400</v>
      </c>
      <c r="F168" s="112">
        <f ca="1">'8.0자재단가'!$I$14</f>
        <v>80</v>
      </c>
      <c r="G168" s="112">
        <f>INT(C168*F168)</f>
        <v>2400</v>
      </c>
      <c r="H168" s="112"/>
      <c r="I168" s="112"/>
      <c r="J168" s="112"/>
      <c r="K168" s="126"/>
      <c r="L168" s="211"/>
      <c r="M168" s="211"/>
      <c r="N168" s="211"/>
    </row>
    <row r="169" spans="1:14" s="104" customFormat="1" ht="15" customHeight="1">
      <c r="A169" s="113" t="s">
        <v>884</v>
      </c>
      <c r="B169" s="110" t="s">
        <v>979</v>
      </c>
      <c r="C169" s="159">
        <f ca="1">'3.0수량표'!K33</f>
        <v>2</v>
      </c>
      <c r="D169" s="110" t="s">
        <v>965</v>
      </c>
      <c r="E169" s="112">
        <f t="shared" si="13"/>
        <v>504</v>
      </c>
      <c r="F169" s="112">
        <f>SUM(G164:G168)</f>
        <v>25248</v>
      </c>
      <c r="G169" s="112">
        <f>INT(C169*F169/100)</f>
        <v>504</v>
      </c>
      <c r="H169" s="112"/>
      <c r="I169" s="112"/>
      <c r="J169" s="112"/>
      <c r="K169" s="126"/>
      <c r="L169" s="211"/>
      <c r="M169" s="213"/>
      <c r="N169" s="211"/>
    </row>
    <row r="170" spans="1:14" s="104" customFormat="1" ht="15" customHeight="1">
      <c r="A170" s="117" t="s">
        <v>906</v>
      </c>
      <c r="B170" s="110" t="s">
        <v>876</v>
      </c>
      <c r="C170" s="160">
        <f ca="1">'3.0수량표'!K34</f>
        <v>6.4000000000000001E-2</v>
      </c>
      <c r="D170" s="110" t="s">
        <v>843</v>
      </c>
      <c r="E170" s="112">
        <f t="shared" si="13"/>
        <v>1598</v>
      </c>
      <c r="F170" s="112">
        <f ca="1">'9.0중기목록'!$F$6</f>
        <v>0</v>
      </c>
      <c r="G170" s="112">
        <f t="shared" ref="G170:G175" si="14">INT(C170*F170)</f>
        <v>0</v>
      </c>
      <c r="H170" s="112">
        <f ca="1">'9.0중기목록'!$E$6</f>
        <v>0</v>
      </c>
      <c r="I170" s="112">
        <f t="shared" ref="I170:I179" si="15">INT(C170*H170)</f>
        <v>0</v>
      </c>
      <c r="J170" s="112">
        <f ca="1">'9.0중기목록'!$G$6</f>
        <v>24973</v>
      </c>
      <c r="K170" s="126">
        <f t="shared" ref="K170:K175" si="16">INT(C170*J170)</f>
        <v>1598</v>
      </c>
      <c r="L170" s="211"/>
      <c r="M170" s="211"/>
      <c r="N170" s="211"/>
    </row>
    <row r="171" spans="1:14" s="104" customFormat="1" ht="15" customHeight="1">
      <c r="A171" s="117" t="s">
        <v>835</v>
      </c>
      <c r="B171" s="110" t="s">
        <v>844</v>
      </c>
      <c r="C171" s="160">
        <f ca="1">'3.0수량표'!K35</f>
        <v>6.4000000000000001E-2</v>
      </c>
      <c r="D171" s="110" t="s">
        <v>843</v>
      </c>
      <c r="E171" s="112">
        <f t="shared" si="13"/>
        <v>3504</v>
      </c>
      <c r="F171" s="112">
        <f ca="1">'9.0중기목록'!$F$8</f>
        <v>29577</v>
      </c>
      <c r="G171" s="112">
        <f t="shared" si="14"/>
        <v>1892</v>
      </c>
      <c r="H171" s="112">
        <f ca="1">'9.0중기목록'!$E$8</f>
        <v>20561</v>
      </c>
      <c r="I171" s="112">
        <f t="shared" si="15"/>
        <v>1315</v>
      </c>
      <c r="J171" s="112">
        <f ca="1">'9.0중기목록'!$G$8</f>
        <v>4656</v>
      </c>
      <c r="K171" s="126">
        <f t="shared" si="16"/>
        <v>297</v>
      </c>
      <c r="L171" s="211"/>
      <c r="M171" s="211"/>
      <c r="N171" s="211"/>
    </row>
    <row r="172" spans="1:14" s="104" customFormat="1" ht="15" customHeight="1">
      <c r="A172" s="117" t="s">
        <v>845</v>
      </c>
      <c r="B172" s="110" t="s">
        <v>863</v>
      </c>
      <c r="C172" s="160">
        <f ca="1">'3.0수량표'!K36</f>
        <v>6.4000000000000001E-2</v>
      </c>
      <c r="D172" s="110" t="s">
        <v>843</v>
      </c>
      <c r="E172" s="112">
        <f t="shared" si="13"/>
        <v>2742</v>
      </c>
      <c r="F172" s="112">
        <f ca="1">'9.0중기목록'!$F$10</f>
        <v>23409</v>
      </c>
      <c r="G172" s="112">
        <f t="shared" si="14"/>
        <v>1498</v>
      </c>
      <c r="H172" s="112">
        <f ca="1">'9.0중기목록'!$E$10</f>
        <v>14915</v>
      </c>
      <c r="I172" s="112">
        <f t="shared" si="15"/>
        <v>954</v>
      </c>
      <c r="J172" s="112">
        <f ca="1">'9.0중기목록'!$G$10</f>
        <v>4533</v>
      </c>
      <c r="K172" s="126">
        <f t="shared" si="16"/>
        <v>290</v>
      </c>
      <c r="L172" s="211"/>
      <c r="M172" s="211"/>
      <c r="N172" s="211"/>
    </row>
    <row r="173" spans="1:14" s="104" customFormat="1" ht="15" customHeight="1">
      <c r="A173" s="121" t="s">
        <v>885</v>
      </c>
      <c r="B173" s="110" t="s">
        <v>868</v>
      </c>
      <c r="C173" s="160">
        <f ca="1">'3.0수량표'!K37</f>
        <v>7.1999999999999995E-2</v>
      </c>
      <c r="D173" s="110" t="s">
        <v>843</v>
      </c>
      <c r="E173" s="112">
        <f t="shared" si="13"/>
        <v>2498</v>
      </c>
      <c r="F173" s="112">
        <f ca="1">'9.0중기목록'!$F$12</f>
        <v>6640</v>
      </c>
      <c r="G173" s="112">
        <f t="shared" si="14"/>
        <v>478</v>
      </c>
      <c r="H173" s="112">
        <f ca="1">'9.0중기목록'!$E$12</f>
        <v>17696</v>
      </c>
      <c r="I173" s="112">
        <f t="shared" si="15"/>
        <v>1274</v>
      </c>
      <c r="J173" s="112">
        <f ca="1">'9.0중기목록'!$G$12</f>
        <v>10362</v>
      </c>
      <c r="K173" s="126">
        <f t="shared" si="16"/>
        <v>746</v>
      </c>
      <c r="L173" s="211"/>
      <c r="M173" s="211"/>
      <c r="N173" s="211"/>
    </row>
    <row r="174" spans="1:14" s="104" customFormat="1" ht="15" customHeight="1">
      <c r="A174" s="113" t="s">
        <v>846</v>
      </c>
      <c r="B174" s="110" t="s">
        <v>847</v>
      </c>
      <c r="C174" s="160">
        <f ca="1">'3.0수량표'!K38</f>
        <v>6.4000000000000001E-2</v>
      </c>
      <c r="D174" s="110" t="s">
        <v>843</v>
      </c>
      <c r="E174" s="112">
        <f t="shared" si="13"/>
        <v>2471</v>
      </c>
      <c r="F174" s="112">
        <f ca="1">'9.0중기목록'!$F$14</f>
        <v>13117</v>
      </c>
      <c r="G174" s="112">
        <f t="shared" si="14"/>
        <v>839</v>
      </c>
      <c r="H174" s="112">
        <f ca="1">'9.0중기목록'!$E$14</f>
        <v>17696</v>
      </c>
      <c r="I174" s="112">
        <f t="shared" si="15"/>
        <v>1132</v>
      </c>
      <c r="J174" s="112">
        <f ca="1">'9.0중기목록'!$G$14</f>
        <v>7823</v>
      </c>
      <c r="K174" s="126">
        <f t="shared" si="16"/>
        <v>500</v>
      </c>
      <c r="L174" s="211"/>
      <c r="M174" s="211"/>
      <c r="N174" s="211"/>
    </row>
    <row r="175" spans="1:14" s="104" customFormat="1" ht="15" customHeight="1">
      <c r="A175" s="117" t="s">
        <v>836</v>
      </c>
      <c r="B175" s="110" t="s">
        <v>867</v>
      </c>
      <c r="C175" s="160">
        <f ca="1">'3.0수량표'!K39</f>
        <v>6.4000000000000001E-2</v>
      </c>
      <c r="D175" s="110" t="s">
        <v>843</v>
      </c>
      <c r="E175" s="112">
        <f t="shared" si="13"/>
        <v>2289</v>
      </c>
      <c r="F175" s="112">
        <f ca="1">'9.0중기목록'!$F$16</f>
        <v>11978</v>
      </c>
      <c r="G175" s="112">
        <f t="shared" si="14"/>
        <v>766</v>
      </c>
      <c r="H175" s="112">
        <f ca="1">'9.0중기목록'!$E$16</f>
        <v>17696</v>
      </c>
      <c r="I175" s="112">
        <f t="shared" si="15"/>
        <v>1132</v>
      </c>
      <c r="J175" s="112">
        <f ca="1">'9.0중기목록'!$G$16</f>
        <v>6117</v>
      </c>
      <c r="K175" s="126">
        <f t="shared" si="16"/>
        <v>391</v>
      </c>
      <c r="L175" s="211"/>
      <c r="M175" s="213"/>
      <c r="N175" s="211"/>
    </row>
    <row r="176" spans="1:14" s="104" customFormat="1" ht="15" customHeight="1">
      <c r="A176" s="113" t="s">
        <v>837</v>
      </c>
      <c r="B176" s="110"/>
      <c r="C176" s="160">
        <f ca="1">'3.0수량표'!K40</f>
        <v>0.01</v>
      </c>
      <c r="D176" s="110" t="s">
        <v>964</v>
      </c>
      <c r="E176" s="112">
        <f t="shared" si="13"/>
        <v>922</v>
      </c>
      <c r="F176" s="112"/>
      <c r="G176" s="112"/>
      <c r="H176" s="112">
        <f ca="1">'11.0시중노임'!$F$4</f>
        <v>92218</v>
      </c>
      <c r="I176" s="112">
        <f t="shared" si="15"/>
        <v>922</v>
      </c>
      <c r="J176" s="112"/>
      <c r="K176" s="126"/>
      <c r="L176" s="211"/>
      <c r="M176" s="211"/>
      <c r="N176" s="211"/>
    </row>
    <row r="177" spans="1:14" s="104" customFormat="1" ht="15" customHeight="1">
      <c r="A177" s="113" t="s">
        <v>838</v>
      </c>
      <c r="B177" s="110"/>
      <c r="C177" s="160">
        <f ca="1">'3.0수량표'!K41</f>
        <v>4.2000000000000003E-2</v>
      </c>
      <c r="D177" s="110" t="s">
        <v>964</v>
      </c>
      <c r="E177" s="112">
        <f t="shared" si="13"/>
        <v>3544</v>
      </c>
      <c r="F177" s="112"/>
      <c r="G177" s="112"/>
      <c r="H177" s="112">
        <f ca="1">'11.0시중노임'!$F$5</f>
        <v>84404</v>
      </c>
      <c r="I177" s="112">
        <f t="shared" si="15"/>
        <v>3544</v>
      </c>
      <c r="J177" s="112"/>
      <c r="K177" s="126"/>
      <c r="L177" s="211"/>
      <c r="M177" s="211"/>
      <c r="N177" s="211"/>
    </row>
    <row r="178" spans="1:14" s="104" customFormat="1" ht="15" customHeight="1">
      <c r="A178" s="113" t="s">
        <v>848</v>
      </c>
      <c r="B178" s="110"/>
      <c r="C178" s="160">
        <f ca="1">'3.0수량표'!K42</f>
        <v>0.01</v>
      </c>
      <c r="D178" s="110" t="s">
        <v>964</v>
      </c>
      <c r="E178" s="112">
        <f t="shared" si="13"/>
        <v>865</v>
      </c>
      <c r="F178" s="112"/>
      <c r="G178" s="112"/>
      <c r="H178" s="112">
        <f ca="1">'11.0시중노임'!$F$12</f>
        <v>86521</v>
      </c>
      <c r="I178" s="112">
        <f t="shared" si="15"/>
        <v>865</v>
      </c>
      <c r="J178" s="112"/>
      <c r="K178" s="126"/>
      <c r="L178" s="211"/>
      <c r="M178" s="211"/>
      <c r="N178" s="211"/>
    </row>
    <row r="179" spans="1:14" s="104" customFormat="1" ht="15" customHeight="1">
      <c r="A179" s="113" t="s">
        <v>839</v>
      </c>
      <c r="B179" s="110"/>
      <c r="C179" s="160">
        <f ca="1">'3.0수량표'!K43</f>
        <v>8.4000000000000005E-2</v>
      </c>
      <c r="D179" s="110" t="s">
        <v>964</v>
      </c>
      <c r="E179" s="112">
        <f t="shared" si="13"/>
        <v>5793</v>
      </c>
      <c r="F179" s="112"/>
      <c r="G179" s="112"/>
      <c r="H179" s="112">
        <f ca="1">'11.0시중노임'!$F$6</f>
        <v>68965</v>
      </c>
      <c r="I179" s="112">
        <f t="shared" si="15"/>
        <v>5793</v>
      </c>
      <c r="J179" s="112"/>
      <c r="K179" s="126"/>
      <c r="L179" s="211"/>
      <c r="M179" s="213"/>
      <c r="N179" s="211"/>
    </row>
    <row r="180" spans="1:14" s="104" customFormat="1" ht="15" customHeight="1">
      <c r="A180" s="113" t="s">
        <v>840</v>
      </c>
      <c r="B180" s="110" t="s">
        <v>980</v>
      </c>
      <c r="C180" s="159">
        <f ca="1">'3.0수량표'!D44</f>
        <v>2</v>
      </c>
      <c r="D180" s="110" t="s">
        <v>965</v>
      </c>
      <c r="E180" s="112">
        <f t="shared" si="13"/>
        <v>222</v>
      </c>
      <c r="F180" s="112"/>
      <c r="G180" s="112"/>
      <c r="H180" s="112"/>
      <c r="I180" s="112"/>
      <c r="J180" s="112">
        <f>SUM(I176:I179)</f>
        <v>11124</v>
      </c>
      <c r="K180" s="126">
        <f>INT(C180*J180/100)</f>
        <v>222</v>
      </c>
      <c r="L180" s="211"/>
      <c r="M180" s="211"/>
      <c r="N180" s="211"/>
    </row>
    <row r="181" spans="1:14" s="134" customFormat="1" ht="15" customHeight="1">
      <c r="A181" s="146" t="s">
        <v>849</v>
      </c>
      <c r="B181" s="147"/>
      <c r="C181" s="148"/>
      <c r="D181" s="147"/>
      <c r="E181" s="131">
        <f>G181+I181+K181</f>
        <v>52200</v>
      </c>
      <c r="F181" s="131"/>
      <c r="G181" s="131">
        <f>SUM(G164:G180)</f>
        <v>31225</v>
      </c>
      <c r="H181" s="131"/>
      <c r="I181" s="131">
        <f>SUM(I164:I180)</f>
        <v>16931</v>
      </c>
      <c r="J181" s="131"/>
      <c r="K181" s="149">
        <f>SUM(K164:K180)</f>
        <v>4044</v>
      </c>
      <c r="L181" s="214"/>
      <c r="M181" s="214"/>
      <c r="N181" s="214"/>
    </row>
    <row r="182" spans="1:14" s="134" customFormat="1" ht="15" customHeight="1">
      <c r="A182" s="146"/>
      <c r="B182" s="147"/>
      <c r="C182" s="148"/>
      <c r="D182" s="147"/>
      <c r="E182" s="131"/>
      <c r="F182" s="131"/>
      <c r="G182" s="131"/>
      <c r="H182" s="131"/>
      <c r="I182" s="131"/>
      <c r="J182" s="131"/>
      <c r="K182" s="149"/>
      <c r="L182" s="214"/>
      <c r="M182" s="214"/>
      <c r="N182" s="214"/>
    </row>
    <row r="183" spans="1:14" s="104" customFormat="1" ht="15" customHeight="1">
      <c r="A183" s="269"/>
      <c r="B183" s="111" t="s">
        <v>981</v>
      </c>
      <c r="C183" s="111"/>
      <c r="D183" s="110"/>
      <c r="E183" s="112"/>
      <c r="F183" s="111"/>
      <c r="G183" s="111"/>
      <c r="H183" s="111"/>
      <c r="I183" s="111"/>
      <c r="J183" s="111"/>
      <c r="K183" s="270"/>
      <c r="L183" s="211"/>
      <c r="M183" s="211"/>
      <c r="N183" s="211"/>
    </row>
    <row r="184" spans="1:14" s="134" customFormat="1" ht="15" customHeight="1">
      <c r="A184" s="128" t="s">
        <v>886</v>
      </c>
      <c r="B184" s="129"/>
      <c r="C184" s="129"/>
      <c r="D184" s="130"/>
      <c r="E184" s="132">
        <f>E181+E162+E155+E149</f>
        <v>64857</v>
      </c>
      <c r="F184" s="132"/>
      <c r="G184" s="132">
        <f>G181+G162+G155+G149</f>
        <v>35992</v>
      </c>
      <c r="H184" s="132"/>
      <c r="I184" s="132">
        <f>I181+I162+I155+I149</f>
        <v>24657</v>
      </c>
      <c r="J184" s="132"/>
      <c r="K184" s="133">
        <f>K181+K162+K155+K149</f>
        <v>4208</v>
      </c>
      <c r="L184" s="214"/>
      <c r="M184" s="214"/>
      <c r="N184" s="214"/>
    </row>
  </sheetData>
  <mergeCells count="36">
    <mergeCell ref="A1:K1"/>
    <mergeCell ref="A48:K48"/>
    <mergeCell ref="A94:K94"/>
    <mergeCell ref="F3:G3"/>
    <mergeCell ref="H3:I3"/>
    <mergeCell ref="J3:K3"/>
    <mergeCell ref="A3:A4"/>
    <mergeCell ref="D3:D4"/>
    <mergeCell ref="J50:K50"/>
    <mergeCell ref="A50:A51"/>
    <mergeCell ref="B3:B4"/>
    <mergeCell ref="C3:C4"/>
    <mergeCell ref="F50:G50"/>
    <mergeCell ref="H50:I50"/>
    <mergeCell ref="E50:E51"/>
    <mergeCell ref="D142:D143"/>
    <mergeCell ref="E142:E143"/>
    <mergeCell ref="E3:E4"/>
    <mergeCell ref="A142:A143"/>
    <mergeCell ref="A96:A97"/>
    <mergeCell ref="B96:B97"/>
    <mergeCell ref="C96:C97"/>
    <mergeCell ref="C142:C143"/>
    <mergeCell ref="F142:G142"/>
    <mergeCell ref="A140:K140"/>
    <mergeCell ref="B142:B143"/>
    <mergeCell ref="H142:I142"/>
    <mergeCell ref="J142:K142"/>
    <mergeCell ref="J96:K96"/>
    <mergeCell ref="F96:G96"/>
    <mergeCell ref="H96:I96"/>
    <mergeCell ref="D96:D97"/>
    <mergeCell ref="E96:E97"/>
    <mergeCell ref="B50:B51"/>
    <mergeCell ref="C50:C51"/>
    <mergeCell ref="D50:D51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>
    <oddFooter xml:space="preserve">&amp;R&amp;10자연생태복원(JSB)공법
JSB건설 
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X176"/>
  <sheetViews>
    <sheetView topLeftCell="A49" zoomScaleSheetLayoutView="100" workbookViewId="0">
      <selection activeCell="P6" sqref="P6"/>
    </sheetView>
  </sheetViews>
  <sheetFormatPr defaultColWidth="8" defaultRowHeight="26.85" customHeight="1"/>
  <cols>
    <col min="1" max="1" width="13" style="444" customWidth="1"/>
    <col min="2" max="2" width="12.109375" style="443" customWidth="1"/>
    <col min="3" max="3" width="8" style="445" bestFit="1" customWidth="1"/>
    <col min="4" max="4" width="4.109375" style="446" customWidth="1"/>
    <col min="5" max="6" width="9.77734375" style="447" bestFit="1" customWidth="1"/>
    <col min="7" max="7" width="8.88671875" style="447" bestFit="1" customWidth="1"/>
    <col min="8" max="8" width="9.77734375" style="447" bestFit="1" customWidth="1"/>
    <col min="9" max="10" width="8.88671875" style="447" bestFit="1" customWidth="1"/>
    <col min="11" max="11" width="12.109375" style="447" customWidth="1"/>
    <col min="12" max="16384" width="8" style="443"/>
  </cols>
  <sheetData>
    <row r="1" spans="4:4" customFormat="1" ht="13.5">
      <c r="D1" s="338"/>
    </row>
    <row r="2" spans="4:4" customFormat="1" ht="13.5">
      <c r="D2" s="338"/>
    </row>
    <row r="3" spans="4:4" customFormat="1" ht="13.5">
      <c r="D3" s="338"/>
    </row>
    <row r="4" spans="4:4" customFormat="1" ht="13.5">
      <c r="D4" s="338"/>
    </row>
    <row r="5" spans="4:4" customFormat="1" ht="13.5">
      <c r="D5" s="338"/>
    </row>
    <row r="6" spans="4:4" customFormat="1" ht="13.5">
      <c r="D6" s="338"/>
    </row>
    <row r="7" spans="4:4" customFormat="1" ht="13.5">
      <c r="D7" s="338"/>
    </row>
    <row r="8" spans="4:4" customFormat="1" ht="13.5">
      <c r="D8" s="338"/>
    </row>
    <row r="9" spans="4:4" customFormat="1" ht="13.5">
      <c r="D9" s="338"/>
    </row>
    <row r="10" spans="4:4" customFormat="1" ht="13.5">
      <c r="D10" s="338"/>
    </row>
    <row r="11" spans="4:4" customFormat="1" ht="13.5">
      <c r="D11" s="338"/>
    </row>
    <row r="12" spans="4:4" customFormat="1" ht="13.5">
      <c r="D12" s="338"/>
    </row>
    <row r="13" spans="4:4" customFormat="1" ht="13.5">
      <c r="D13" s="338"/>
    </row>
    <row r="14" spans="4:4" customFormat="1" ht="13.5">
      <c r="D14" s="338"/>
    </row>
    <row r="15" spans="4:4" customFormat="1" ht="13.5">
      <c r="D15" s="338"/>
    </row>
    <row r="16" spans="4:4" customFormat="1" ht="13.5">
      <c r="D16" s="338"/>
    </row>
    <row r="17" spans="3:8" customFormat="1" ht="13.5">
      <c r="D17" s="338"/>
    </row>
    <row r="18" spans="3:8" customFormat="1" ht="13.5">
      <c r="D18" s="338"/>
    </row>
    <row r="19" spans="3:8" s="339" customFormat="1" ht="30" customHeight="1">
      <c r="D19" s="387"/>
    </row>
    <row r="20" spans="3:8" customFormat="1" ht="13.5">
      <c r="D20" s="338"/>
    </row>
    <row r="21" spans="3:8" customFormat="1" ht="13.5">
      <c r="D21" s="338"/>
    </row>
    <row r="22" spans="3:8" s="339" customFormat="1" ht="30" customHeight="1">
      <c r="D22" s="387"/>
    </row>
    <row r="23" spans="3:8" s="339" customFormat="1" ht="30" customHeight="1">
      <c r="C23" s="373" t="s">
        <v>276</v>
      </c>
      <c r="D23" s="1830" t="s">
        <v>752</v>
      </c>
      <c r="E23" s="1822"/>
      <c r="F23" s="311" t="s">
        <v>761</v>
      </c>
      <c r="G23" s="374" t="s">
        <v>762</v>
      </c>
      <c r="H23" s="436"/>
    </row>
    <row r="24" spans="3:8" s="339" customFormat="1" ht="30" customHeight="1">
      <c r="C24" s="370">
        <v>1</v>
      </c>
      <c r="D24" s="1844" t="s">
        <v>802</v>
      </c>
      <c r="E24" s="1825"/>
      <c r="F24" s="371">
        <f>A82</f>
        <v>12231</v>
      </c>
      <c r="G24" s="440"/>
      <c r="H24" s="437"/>
    </row>
    <row r="25" spans="3:8" s="339" customFormat="1" ht="30" customHeight="1">
      <c r="C25" s="370">
        <v>2</v>
      </c>
      <c r="D25" s="1844" t="s">
        <v>803</v>
      </c>
      <c r="E25" s="1825"/>
      <c r="F25" s="371">
        <f>A100</f>
        <v>21596</v>
      </c>
      <c r="G25" s="440"/>
      <c r="H25" s="437"/>
    </row>
    <row r="26" spans="3:8" s="339" customFormat="1" ht="30" customHeight="1">
      <c r="C26" s="370">
        <v>3</v>
      </c>
      <c r="D26" s="1844" t="s">
        <v>806</v>
      </c>
      <c r="E26" s="1825"/>
      <c r="F26" s="371">
        <f>A120</f>
        <v>32761</v>
      </c>
      <c r="G26" s="440"/>
      <c r="H26" s="437"/>
    </row>
    <row r="27" spans="3:8" s="339" customFormat="1" ht="30" customHeight="1">
      <c r="C27" s="370">
        <v>4</v>
      </c>
      <c r="D27" s="1844" t="s">
        <v>804</v>
      </c>
      <c r="E27" s="1825"/>
      <c r="F27" s="371">
        <f>A138</f>
        <v>50625</v>
      </c>
      <c r="G27" s="440"/>
      <c r="H27" s="437"/>
    </row>
    <row r="28" spans="3:8" s="339" customFormat="1" ht="30" customHeight="1">
      <c r="C28" s="315">
        <v>5</v>
      </c>
      <c r="D28" s="1876" t="s">
        <v>805</v>
      </c>
      <c r="E28" s="1828"/>
      <c r="F28" s="372">
        <f>A158</f>
        <v>75003</v>
      </c>
      <c r="G28" s="441"/>
      <c r="H28" s="437"/>
    </row>
    <row r="29" spans="3:8" customFormat="1" ht="13.5">
      <c r="D29" s="338"/>
    </row>
    <row r="30" spans="3:8" customFormat="1" ht="13.5">
      <c r="D30" s="338"/>
    </row>
    <row r="31" spans="3:8" customFormat="1" ht="13.5">
      <c r="D31" s="338"/>
    </row>
    <row r="32" spans="3:8" customFormat="1" ht="13.5">
      <c r="D32" s="338"/>
    </row>
    <row r="33" spans="4:4" customFormat="1" ht="13.5">
      <c r="D33" s="338"/>
    </row>
    <row r="34" spans="4:4" customFormat="1" ht="13.5">
      <c r="D34" s="338"/>
    </row>
    <row r="35" spans="4:4" customFormat="1" ht="13.5">
      <c r="D35" s="338"/>
    </row>
    <row r="36" spans="4:4" customFormat="1" ht="13.5">
      <c r="D36" s="338"/>
    </row>
    <row r="37" spans="4:4" customFormat="1" ht="13.5">
      <c r="D37" s="338"/>
    </row>
    <row r="38" spans="4:4" customFormat="1" ht="13.5">
      <c r="D38" s="338"/>
    </row>
    <row r="39" spans="4:4" customFormat="1" ht="13.5">
      <c r="D39" s="338"/>
    </row>
    <row r="40" spans="4:4" customFormat="1" ht="13.5">
      <c r="D40" s="338"/>
    </row>
    <row r="41" spans="4:4" customFormat="1" ht="13.5">
      <c r="D41" s="338"/>
    </row>
    <row r="42" spans="4:4" customFormat="1" ht="13.5">
      <c r="D42" s="338"/>
    </row>
    <row r="43" spans="4:4" customFormat="1" ht="13.5">
      <c r="D43" s="338"/>
    </row>
    <row r="44" spans="4:4" customFormat="1" ht="13.5">
      <c r="D44" s="338"/>
    </row>
    <row r="45" spans="4:4" customFormat="1" ht="13.5">
      <c r="D45" s="338"/>
    </row>
    <row r="46" spans="4:4" customFormat="1" ht="13.5">
      <c r="D46" s="338"/>
    </row>
    <row r="47" spans="4:4" customFormat="1" ht="13.5">
      <c r="D47" s="338"/>
    </row>
    <row r="48" spans="4:4" customFormat="1" ht="13.5">
      <c r="D48" s="338"/>
    </row>
    <row r="49" spans="4:4" customFormat="1" ht="13.5">
      <c r="D49" s="338"/>
    </row>
    <row r="50" spans="4:4" customFormat="1" ht="13.5">
      <c r="D50" s="338"/>
    </row>
    <row r="51" spans="4:4" customFormat="1" ht="13.5">
      <c r="D51" s="338"/>
    </row>
    <row r="52" spans="4:4" customFormat="1" ht="13.5">
      <c r="D52" s="338"/>
    </row>
    <row r="53" spans="4:4" customFormat="1" ht="13.5">
      <c r="D53" s="338"/>
    </row>
    <row r="54" spans="4:4" customFormat="1" ht="13.5">
      <c r="D54" s="338"/>
    </row>
    <row r="55" spans="4:4" customFormat="1" ht="13.5">
      <c r="D55" s="338"/>
    </row>
    <row r="56" spans="4:4" customFormat="1" ht="13.5">
      <c r="D56" s="338"/>
    </row>
    <row r="57" spans="4:4" customFormat="1" ht="13.5">
      <c r="D57" s="338"/>
    </row>
    <row r="58" spans="4:4" customFormat="1" ht="13.5">
      <c r="D58" s="338"/>
    </row>
    <row r="59" spans="4:4" customFormat="1" ht="13.5">
      <c r="D59" s="338"/>
    </row>
    <row r="60" spans="4:4" customFormat="1" ht="13.5">
      <c r="D60" s="338"/>
    </row>
    <row r="61" spans="4:4" customFormat="1" ht="13.5">
      <c r="D61" s="338"/>
    </row>
    <row r="62" spans="4:4" customFormat="1" ht="13.5">
      <c r="D62" s="338"/>
    </row>
    <row r="63" spans="4:4" customFormat="1" ht="13.5">
      <c r="D63" s="338"/>
    </row>
    <row r="64" spans="4:4" customFormat="1" ht="13.5">
      <c r="D64" s="338"/>
    </row>
    <row r="65" spans="1:24" s="449" customFormat="1" ht="26.85" customHeight="1">
      <c r="A65" s="1868" t="s">
        <v>1218</v>
      </c>
      <c r="B65" s="1866" t="s">
        <v>763</v>
      </c>
      <c r="C65" s="1864" t="s">
        <v>799</v>
      </c>
      <c r="D65" s="1866" t="s">
        <v>983</v>
      </c>
      <c r="E65" s="1872" t="s">
        <v>764</v>
      </c>
      <c r="F65" s="1873"/>
      <c r="G65" s="1872" t="s">
        <v>765</v>
      </c>
      <c r="H65" s="1873"/>
      <c r="I65" s="1872" t="s">
        <v>793</v>
      </c>
      <c r="J65" s="1873"/>
      <c r="K65" s="450" t="s">
        <v>796</v>
      </c>
      <c r="L65" s="448"/>
      <c r="M65" s="448"/>
      <c r="N65" s="448"/>
      <c r="O65" s="448"/>
      <c r="P65" s="448"/>
      <c r="Q65" s="448"/>
      <c r="R65" s="448"/>
      <c r="S65" s="448"/>
      <c r="T65" s="448"/>
      <c r="U65" s="448"/>
      <c r="V65" s="448"/>
      <c r="W65" s="448"/>
      <c r="X65" s="448"/>
    </row>
    <row r="66" spans="1:24" s="449" customFormat="1" ht="26.85" customHeight="1">
      <c r="A66" s="1869"/>
      <c r="B66" s="1867"/>
      <c r="C66" s="1865"/>
      <c r="D66" s="1867"/>
      <c r="E66" s="451" t="s">
        <v>794</v>
      </c>
      <c r="F66" s="451" t="s">
        <v>795</v>
      </c>
      <c r="G66" s="451" t="s">
        <v>794</v>
      </c>
      <c r="H66" s="451" t="s">
        <v>795</v>
      </c>
      <c r="I66" s="451" t="s">
        <v>794</v>
      </c>
      <c r="J66" s="451" t="s">
        <v>795</v>
      </c>
      <c r="K66" s="452" t="s">
        <v>795</v>
      </c>
      <c r="L66" s="448"/>
      <c r="M66" s="448"/>
      <c r="N66" s="448"/>
      <c r="O66" s="448"/>
      <c r="P66" s="448"/>
      <c r="Q66" s="448"/>
      <c r="R66" s="448"/>
      <c r="S66" s="448"/>
      <c r="T66" s="448"/>
      <c r="U66" s="448"/>
      <c r="V66" s="448"/>
      <c r="W66" s="448"/>
      <c r="X66" s="448"/>
    </row>
    <row r="67" spans="1:24" ht="26.85" customHeight="1">
      <c r="A67" s="1874" t="s">
        <v>778</v>
      </c>
      <c r="B67" s="1875"/>
      <c r="C67" s="1875"/>
      <c r="D67" s="1875"/>
      <c r="E67" s="1875"/>
      <c r="F67" s="1875"/>
      <c r="G67" s="453"/>
      <c r="H67" s="453"/>
      <c r="I67" s="453"/>
      <c r="J67" s="453"/>
      <c r="K67" s="454"/>
      <c r="L67" s="442"/>
      <c r="M67" s="442"/>
      <c r="N67" s="442"/>
      <c r="O67" s="442"/>
      <c r="P67" s="442"/>
      <c r="Q67" s="442"/>
      <c r="R67" s="442"/>
      <c r="S67" s="442"/>
      <c r="T67" s="442"/>
      <c r="U67" s="442"/>
      <c r="V67" s="442"/>
      <c r="W67" s="442"/>
      <c r="X67" s="442"/>
    </row>
    <row r="68" spans="1:24" ht="26.85" customHeight="1">
      <c r="A68" s="455" t="s">
        <v>779</v>
      </c>
      <c r="B68" s="456" t="s">
        <v>780</v>
      </c>
      <c r="C68" s="457">
        <v>55</v>
      </c>
      <c r="D68" s="456" t="s">
        <v>766</v>
      </c>
      <c r="E68" s="458">
        <f ca="1">'8.0자재단가'!I62</f>
        <v>840</v>
      </c>
      <c r="F68" s="458">
        <f t="shared" ref="F68:F78" si="0">INT(E68*C68)</f>
        <v>46200</v>
      </c>
      <c r="G68" s="453"/>
      <c r="H68" s="453">
        <f t="shared" ref="H68:H78" si="1">INT(G68*C68)</f>
        <v>0</v>
      </c>
      <c r="I68" s="453"/>
      <c r="J68" s="453">
        <f t="shared" ref="J68:J78" si="2">INT(I68*C68)</f>
        <v>0</v>
      </c>
      <c r="K68" s="459">
        <f t="shared" ref="K68:K80" si="3">+J68+H68+F68</f>
        <v>46200</v>
      </c>
      <c r="L68" s="442"/>
      <c r="M68" s="442"/>
      <c r="N68" s="442"/>
      <c r="O68" s="442"/>
      <c r="P68" s="442"/>
      <c r="Q68" s="442"/>
      <c r="R68" s="442"/>
      <c r="S68" s="442"/>
      <c r="T68" s="442"/>
      <c r="U68" s="442"/>
      <c r="V68" s="442"/>
      <c r="W68" s="442"/>
      <c r="X68" s="442"/>
    </row>
    <row r="69" spans="1:24" ht="26.85" customHeight="1">
      <c r="A69" s="455" t="s">
        <v>781</v>
      </c>
      <c r="B69" s="456" t="s">
        <v>782</v>
      </c>
      <c r="C69" s="457">
        <v>10</v>
      </c>
      <c r="D69" s="456" t="s">
        <v>1199</v>
      </c>
      <c r="E69" s="458">
        <f ca="1">'8.0자재단가'!I63</f>
        <v>40</v>
      </c>
      <c r="F69" s="458">
        <f t="shared" si="0"/>
        <v>400</v>
      </c>
      <c r="G69" s="453"/>
      <c r="H69" s="453">
        <f t="shared" si="1"/>
        <v>0</v>
      </c>
      <c r="I69" s="453"/>
      <c r="J69" s="453">
        <f t="shared" si="2"/>
        <v>0</v>
      </c>
      <c r="K69" s="459">
        <f t="shared" si="3"/>
        <v>400</v>
      </c>
      <c r="L69" s="442"/>
      <c r="M69" s="442"/>
      <c r="N69" s="442"/>
      <c r="O69" s="442"/>
      <c r="P69" s="442"/>
      <c r="Q69" s="442"/>
      <c r="R69" s="442"/>
      <c r="S69" s="442"/>
      <c r="T69" s="442"/>
      <c r="U69" s="442"/>
      <c r="V69" s="442"/>
      <c r="W69" s="442"/>
      <c r="X69" s="442"/>
    </row>
    <row r="70" spans="1:24" ht="26.85" customHeight="1">
      <c r="A70" s="455" t="s">
        <v>800</v>
      </c>
      <c r="B70" s="460" t="s">
        <v>783</v>
      </c>
      <c r="C70" s="457">
        <v>0.2</v>
      </c>
      <c r="D70" s="456" t="s">
        <v>767</v>
      </c>
      <c r="E70" s="458">
        <f ca="1">'8.0자재단가'!I64</f>
        <v>170000</v>
      </c>
      <c r="F70" s="458">
        <f t="shared" si="0"/>
        <v>34000</v>
      </c>
      <c r="G70" s="453"/>
      <c r="H70" s="453">
        <f t="shared" si="1"/>
        <v>0</v>
      </c>
      <c r="I70" s="453"/>
      <c r="J70" s="453">
        <f t="shared" si="2"/>
        <v>0</v>
      </c>
      <c r="K70" s="459">
        <f t="shared" si="3"/>
        <v>34000</v>
      </c>
      <c r="L70" s="442"/>
      <c r="M70" s="442"/>
      <c r="N70" s="442"/>
      <c r="O70" s="442"/>
      <c r="P70" s="442"/>
      <c r="Q70" s="442"/>
      <c r="R70" s="442"/>
      <c r="S70" s="442"/>
      <c r="T70" s="442"/>
      <c r="U70" s="442"/>
      <c r="V70" s="442"/>
      <c r="W70" s="442"/>
      <c r="X70" s="442"/>
    </row>
    <row r="71" spans="1:24" ht="26.85" customHeight="1">
      <c r="A71" s="455" t="s">
        <v>970</v>
      </c>
      <c r="B71" s="456"/>
      <c r="C71" s="461">
        <v>1.9E-2</v>
      </c>
      <c r="D71" s="456" t="s">
        <v>820</v>
      </c>
      <c r="E71" s="453"/>
      <c r="F71" s="453">
        <f t="shared" si="0"/>
        <v>0</v>
      </c>
      <c r="G71" s="453">
        <f ca="1">'11.0시중노임'!F4</f>
        <v>92218</v>
      </c>
      <c r="H71" s="458">
        <f t="shared" si="1"/>
        <v>1752</v>
      </c>
      <c r="I71" s="453"/>
      <c r="J71" s="453">
        <f t="shared" si="2"/>
        <v>0</v>
      </c>
      <c r="K71" s="459">
        <f t="shared" si="3"/>
        <v>1752</v>
      </c>
      <c r="L71" s="442"/>
      <c r="M71" s="442"/>
      <c r="N71" s="442"/>
      <c r="O71" s="442"/>
      <c r="P71" s="442"/>
      <c r="Q71" s="442"/>
      <c r="R71" s="442"/>
      <c r="S71" s="442"/>
      <c r="T71" s="442"/>
      <c r="U71" s="442"/>
      <c r="V71" s="442"/>
      <c r="W71" s="442"/>
      <c r="X71" s="442"/>
    </row>
    <row r="72" spans="1:24" ht="26.85" customHeight="1">
      <c r="A72" s="455" t="s">
        <v>967</v>
      </c>
      <c r="B72" s="456"/>
      <c r="C72" s="461">
        <v>3.6999999999999998E-2</v>
      </c>
      <c r="D72" s="456" t="s">
        <v>820</v>
      </c>
      <c r="E72" s="453"/>
      <c r="F72" s="453">
        <f t="shared" si="0"/>
        <v>0</v>
      </c>
      <c r="G72" s="453">
        <f ca="1">'11.0시중노임'!F5</f>
        <v>84404</v>
      </c>
      <c r="H72" s="458">
        <f t="shared" si="1"/>
        <v>3122</v>
      </c>
      <c r="I72" s="453"/>
      <c r="J72" s="453">
        <f t="shared" si="2"/>
        <v>0</v>
      </c>
      <c r="K72" s="459">
        <f t="shared" si="3"/>
        <v>3122</v>
      </c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</row>
    <row r="73" spans="1:24" ht="26.85" customHeight="1">
      <c r="A73" s="455" t="s">
        <v>971</v>
      </c>
      <c r="B73" s="456"/>
      <c r="C73" s="461">
        <v>0.123</v>
      </c>
      <c r="D73" s="456" t="s">
        <v>820</v>
      </c>
      <c r="E73" s="453"/>
      <c r="F73" s="453">
        <f t="shared" si="0"/>
        <v>0</v>
      </c>
      <c r="G73" s="453">
        <f ca="1">'11.0시중노임'!F6</f>
        <v>68965</v>
      </c>
      <c r="H73" s="458">
        <f t="shared" si="1"/>
        <v>8482</v>
      </c>
      <c r="I73" s="453"/>
      <c r="J73" s="453">
        <f t="shared" si="2"/>
        <v>0</v>
      </c>
      <c r="K73" s="459">
        <f t="shared" si="3"/>
        <v>8482</v>
      </c>
      <c r="L73" s="442"/>
      <c r="M73" s="442"/>
      <c r="N73" s="442"/>
      <c r="O73" s="442"/>
      <c r="P73" s="442"/>
      <c r="Q73" s="442"/>
      <c r="R73" s="442"/>
      <c r="S73" s="442"/>
      <c r="T73" s="442"/>
      <c r="U73" s="442"/>
      <c r="V73" s="442"/>
      <c r="W73" s="442"/>
      <c r="X73" s="442"/>
    </row>
    <row r="74" spans="1:24" ht="26.85" customHeight="1">
      <c r="A74" s="455" t="s">
        <v>768</v>
      </c>
      <c r="B74" s="456" t="s">
        <v>784</v>
      </c>
      <c r="C74" s="461">
        <v>7.1999999999999995E-2</v>
      </c>
      <c r="D74" s="456" t="s">
        <v>1179</v>
      </c>
      <c r="E74" s="458">
        <f ca="1">'9.0중기목록'!F50</f>
        <v>8332</v>
      </c>
      <c r="F74" s="458">
        <f t="shared" si="0"/>
        <v>599</v>
      </c>
      <c r="G74" s="458">
        <f ca="1">'9.0중기목록'!E50</f>
        <v>14915</v>
      </c>
      <c r="H74" s="458">
        <f t="shared" si="1"/>
        <v>1073</v>
      </c>
      <c r="I74" s="458">
        <f ca="1">'9.0중기목록'!G50</f>
        <v>63069</v>
      </c>
      <c r="J74" s="458">
        <f t="shared" si="2"/>
        <v>4540</v>
      </c>
      <c r="K74" s="459">
        <f t="shared" si="3"/>
        <v>6212</v>
      </c>
      <c r="L74" s="442"/>
      <c r="M74" s="442"/>
      <c r="N74" s="442"/>
      <c r="O74" s="442"/>
      <c r="P74" s="442"/>
      <c r="Q74" s="442"/>
      <c r="R74" s="442"/>
      <c r="S74" s="442"/>
      <c r="T74" s="442"/>
      <c r="U74" s="442"/>
      <c r="V74" s="442"/>
      <c r="W74" s="442"/>
      <c r="X74" s="442"/>
    </row>
    <row r="75" spans="1:24" ht="26.85" customHeight="1">
      <c r="A75" s="455" t="s">
        <v>769</v>
      </c>
      <c r="B75" s="456" t="s">
        <v>770</v>
      </c>
      <c r="C75" s="461">
        <v>7.1999999999999995E-2</v>
      </c>
      <c r="D75" s="456" t="s">
        <v>1179</v>
      </c>
      <c r="E75" s="458">
        <f ca="1">'9.0중기목록'!F12</f>
        <v>6640</v>
      </c>
      <c r="F75" s="458">
        <f t="shared" si="0"/>
        <v>478</v>
      </c>
      <c r="G75" s="458">
        <f ca="1">'9.0중기목록'!E12</f>
        <v>17696</v>
      </c>
      <c r="H75" s="458">
        <f t="shared" si="1"/>
        <v>1274</v>
      </c>
      <c r="I75" s="458">
        <f ca="1">'9.0중기목록'!G12</f>
        <v>10362</v>
      </c>
      <c r="J75" s="458">
        <f t="shared" si="2"/>
        <v>746</v>
      </c>
      <c r="K75" s="459">
        <f t="shared" si="3"/>
        <v>2498</v>
      </c>
      <c r="L75" s="442"/>
      <c r="M75" s="442"/>
      <c r="N75" s="442"/>
      <c r="O75" s="442"/>
      <c r="P75" s="442"/>
      <c r="Q75" s="442"/>
      <c r="R75" s="442"/>
      <c r="S75" s="442"/>
      <c r="T75" s="442"/>
      <c r="U75" s="442"/>
      <c r="V75" s="442"/>
      <c r="W75" s="442"/>
      <c r="X75" s="442"/>
    </row>
    <row r="76" spans="1:24" ht="26.85" customHeight="1">
      <c r="A76" s="455" t="s">
        <v>785</v>
      </c>
      <c r="B76" s="456" t="s">
        <v>771</v>
      </c>
      <c r="C76" s="461">
        <v>7.1999999999999995E-2</v>
      </c>
      <c r="D76" s="456" t="s">
        <v>1179</v>
      </c>
      <c r="E76" s="458">
        <f ca="1">'9.0중기목록'!F16</f>
        <v>11978</v>
      </c>
      <c r="F76" s="458">
        <f t="shared" si="0"/>
        <v>862</v>
      </c>
      <c r="G76" s="458">
        <f ca="1">'9.0중기목록'!E16</f>
        <v>17696</v>
      </c>
      <c r="H76" s="458">
        <f t="shared" si="1"/>
        <v>1274</v>
      </c>
      <c r="I76" s="458">
        <f ca="1">'9.0중기목록'!G16</f>
        <v>6117</v>
      </c>
      <c r="J76" s="458">
        <f t="shared" si="2"/>
        <v>440</v>
      </c>
      <c r="K76" s="459">
        <f t="shared" si="3"/>
        <v>2576</v>
      </c>
      <c r="L76" s="442"/>
      <c r="M76" s="442"/>
      <c r="N76" s="442"/>
      <c r="O76" s="442"/>
      <c r="P76" s="442"/>
      <c r="Q76" s="442"/>
      <c r="R76" s="442"/>
      <c r="S76" s="442"/>
      <c r="T76" s="442"/>
      <c r="U76" s="442"/>
      <c r="V76" s="442"/>
      <c r="W76" s="442"/>
      <c r="X76" s="442"/>
    </row>
    <row r="77" spans="1:24" ht="26.85" customHeight="1">
      <c r="A77" s="455" t="s">
        <v>772</v>
      </c>
      <c r="B77" s="456" t="s">
        <v>773</v>
      </c>
      <c r="C77" s="461">
        <v>0.36199999999999999</v>
      </c>
      <c r="D77" s="456" t="s">
        <v>1179</v>
      </c>
      <c r="E77" s="458">
        <f ca="1">'9.0중기목록'!F14</f>
        <v>13117</v>
      </c>
      <c r="F77" s="458">
        <f t="shared" si="0"/>
        <v>4748</v>
      </c>
      <c r="G77" s="458">
        <f ca="1">'9.0중기목록'!E14</f>
        <v>17696</v>
      </c>
      <c r="H77" s="458">
        <f t="shared" si="1"/>
        <v>6405</v>
      </c>
      <c r="I77" s="458">
        <f ca="1">'9.0중기목록'!G14</f>
        <v>7823</v>
      </c>
      <c r="J77" s="458">
        <f t="shared" si="2"/>
        <v>2831</v>
      </c>
      <c r="K77" s="459">
        <f t="shared" si="3"/>
        <v>13984</v>
      </c>
      <c r="L77" s="442"/>
      <c r="M77" s="442"/>
      <c r="N77" s="442"/>
      <c r="O77" s="442"/>
      <c r="P77" s="442"/>
      <c r="Q77" s="442"/>
      <c r="R77" s="442"/>
      <c r="S77" s="442"/>
      <c r="T77" s="442"/>
      <c r="U77" s="442"/>
      <c r="V77" s="442"/>
      <c r="W77" s="442"/>
      <c r="X77" s="442"/>
    </row>
    <row r="78" spans="1:24" ht="26.85" customHeight="1">
      <c r="A78" s="455" t="s">
        <v>774</v>
      </c>
      <c r="B78" s="456" t="s">
        <v>775</v>
      </c>
      <c r="C78" s="461">
        <v>7.1999999999999995E-2</v>
      </c>
      <c r="D78" s="456" t="s">
        <v>1179</v>
      </c>
      <c r="E78" s="453"/>
      <c r="F78" s="453">
        <f t="shared" si="0"/>
        <v>0</v>
      </c>
      <c r="G78" s="453"/>
      <c r="H78" s="453">
        <f t="shared" si="1"/>
        <v>0</v>
      </c>
      <c r="I78" s="458">
        <f ca="1">'9.0중기목록'!G52</f>
        <v>77</v>
      </c>
      <c r="J78" s="458">
        <f t="shared" si="2"/>
        <v>5</v>
      </c>
      <c r="K78" s="459">
        <f t="shared" si="3"/>
        <v>5</v>
      </c>
      <c r="L78" s="442"/>
      <c r="M78" s="442"/>
      <c r="N78" s="442"/>
      <c r="O78" s="442"/>
      <c r="P78" s="442"/>
      <c r="Q78" s="442"/>
      <c r="R78" s="442"/>
      <c r="S78" s="442"/>
      <c r="T78" s="442"/>
      <c r="U78" s="442"/>
      <c r="V78" s="442"/>
      <c r="W78" s="442"/>
      <c r="X78" s="442"/>
    </row>
    <row r="79" spans="1:24" ht="26.85" customHeight="1">
      <c r="A79" s="455" t="s">
        <v>1210</v>
      </c>
      <c r="B79" s="456" t="s">
        <v>776</v>
      </c>
      <c r="C79" s="457">
        <v>1</v>
      </c>
      <c r="D79" s="456" t="s">
        <v>1219</v>
      </c>
      <c r="E79" s="453"/>
      <c r="F79" s="458">
        <f>INT(SUM(F68:F78)*0.03)</f>
        <v>2618</v>
      </c>
      <c r="G79" s="453"/>
      <c r="H79" s="453"/>
      <c r="I79" s="458"/>
      <c r="J79" s="458"/>
      <c r="K79" s="459">
        <f t="shared" si="3"/>
        <v>2618</v>
      </c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</row>
    <row r="80" spans="1:24" ht="26.85" customHeight="1">
      <c r="A80" s="455" t="s">
        <v>1212</v>
      </c>
      <c r="B80" s="456" t="s">
        <v>777</v>
      </c>
      <c r="C80" s="457">
        <v>1</v>
      </c>
      <c r="D80" s="456" t="s">
        <v>1219</v>
      </c>
      <c r="E80" s="453"/>
      <c r="F80" s="453">
        <f>INT(H71+H72+H73+H74+H75+H76+H77+H78)*0.02</f>
        <v>467.64</v>
      </c>
      <c r="G80" s="453"/>
      <c r="H80" s="458"/>
      <c r="I80" s="458"/>
      <c r="J80" s="458"/>
      <c r="K80" s="459">
        <f t="shared" si="3"/>
        <v>467.64</v>
      </c>
      <c r="L80" s="442"/>
      <c r="M80" s="442"/>
      <c r="N80" s="442"/>
      <c r="O80" s="442"/>
      <c r="P80" s="442"/>
      <c r="Q80" s="442"/>
      <c r="R80" s="442"/>
      <c r="S80" s="442"/>
      <c r="T80" s="442"/>
      <c r="U80" s="442"/>
      <c r="V80" s="442"/>
      <c r="W80" s="442"/>
      <c r="X80" s="442"/>
    </row>
    <row r="81" spans="1:24" ht="26.85" customHeight="1">
      <c r="A81" s="455" t="s">
        <v>786</v>
      </c>
      <c r="B81" s="456"/>
      <c r="C81" s="462"/>
      <c r="D81" s="456"/>
      <c r="E81" s="453"/>
      <c r="F81" s="458">
        <f>SUM(F68:F80)</f>
        <v>90372.64</v>
      </c>
      <c r="G81" s="453"/>
      <c r="H81" s="458">
        <f>SUM(H68:H80)</f>
        <v>23382</v>
      </c>
      <c r="I81" s="458"/>
      <c r="J81" s="458">
        <f>SUM(J68:J80)</f>
        <v>8562</v>
      </c>
      <c r="K81" s="459">
        <f>SUM(K68:K80)</f>
        <v>122316.64</v>
      </c>
      <c r="L81" s="442"/>
      <c r="M81" s="442"/>
      <c r="N81" s="442"/>
      <c r="O81" s="442"/>
      <c r="P81" s="442"/>
      <c r="Q81" s="442"/>
      <c r="R81" s="442"/>
      <c r="S81" s="442"/>
      <c r="T81" s="442"/>
      <c r="U81" s="442"/>
      <c r="V81" s="442"/>
      <c r="W81" s="442"/>
      <c r="X81" s="442"/>
    </row>
    <row r="82" spans="1:24" ht="26.85" customHeight="1">
      <c r="A82" s="1725">
        <f>INT(K81/10)</f>
        <v>12231</v>
      </c>
      <c r="B82" s="1726"/>
      <c r="C82" s="1726"/>
      <c r="D82" s="1726"/>
      <c r="E82" s="1726"/>
      <c r="F82" s="1726"/>
      <c r="G82" s="1726"/>
      <c r="H82" s="1726"/>
      <c r="I82" s="1726"/>
      <c r="J82" s="1726"/>
      <c r="K82" s="1727"/>
      <c r="L82" s="442"/>
      <c r="M82" s="442"/>
      <c r="N82" s="442"/>
      <c r="O82" s="442"/>
      <c r="P82" s="442"/>
      <c r="Q82" s="442"/>
      <c r="R82" s="442"/>
      <c r="S82" s="442"/>
      <c r="T82" s="442"/>
      <c r="U82" s="442"/>
      <c r="V82" s="442"/>
      <c r="W82" s="442"/>
      <c r="X82" s="442"/>
    </row>
    <row r="83" spans="1:24" ht="26.85" customHeight="1">
      <c r="A83" s="463"/>
      <c r="B83" s="464"/>
      <c r="C83" s="465"/>
      <c r="D83" s="464"/>
      <c r="E83" s="466"/>
      <c r="F83" s="466"/>
      <c r="G83" s="466"/>
      <c r="H83" s="466"/>
      <c r="I83" s="466"/>
      <c r="J83" s="466"/>
      <c r="K83" s="467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</row>
    <row r="84" spans="1:24" ht="26.85" customHeight="1">
      <c r="A84" s="1870" t="s">
        <v>787</v>
      </c>
      <c r="B84" s="1871"/>
      <c r="C84" s="1871"/>
      <c r="D84" s="1871"/>
      <c r="E84" s="1871"/>
      <c r="F84" s="1871"/>
      <c r="G84" s="468"/>
      <c r="H84" s="468"/>
      <c r="I84" s="468"/>
      <c r="J84" s="468"/>
      <c r="K84" s="469"/>
    </row>
    <row r="85" spans="1:24" ht="26.85" customHeight="1">
      <c r="A85" s="455" t="s">
        <v>779</v>
      </c>
      <c r="B85" s="456" t="s">
        <v>780</v>
      </c>
      <c r="C85" s="470">
        <v>110</v>
      </c>
      <c r="D85" s="456" t="s">
        <v>766</v>
      </c>
      <c r="E85" s="458">
        <f ca="1">'8.0자재단가'!I62</f>
        <v>840</v>
      </c>
      <c r="F85" s="458">
        <f t="shared" ref="F85:F95" si="4">INT(E85*C85)</f>
        <v>92400</v>
      </c>
      <c r="G85" s="453"/>
      <c r="H85" s="453">
        <f t="shared" ref="H85:H95" si="5">INT(G85*C85)</f>
        <v>0</v>
      </c>
      <c r="I85" s="453"/>
      <c r="J85" s="453">
        <f t="shared" ref="J85:J95" si="6">INT(I85*C85)</f>
        <v>0</v>
      </c>
      <c r="K85" s="459">
        <f t="shared" ref="K85:K95" si="7">+J85+H85+F85</f>
        <v>92400</v>
      </c>
    </row>
    <row r="86" spans="1:24" ht="26.85" customHeight="1">
      <c r="A86" s="455" t="s">
        <v>781</v>
      </c>
      <c r="B86" s="456" t="s">
        <v>782</v>
      </c>
      <c r="C86" s="470">
        <v>20</v>
      </c>
      <c r="D86" s="456" t="s">
        <v>1199</v>
      </c>
      <c r="E86" s="458">
        <f ca="1">'8.0자재단가'!I63</f>
        <v>40</v>
      </c>
      <c r="F86" s="458">
        <f t="shared" si="4"/>
        <v>800</v>
      </c>
      <c r="G86" s="453"/>
      <c r="H86" s="453">
        <f t="shared" si="5"/>
        <v>0</v>
      </c>
      <c r="I86" s="453"/>
      <c r="J86" s="453">
        <f t="shared" si="6"/>
        <v>0</v>
      </c>
      <c r="K86" s="459">
        <f t="shared" si="7"/>
        <v>800</v>
      </c>
    </row>
    <row r="87" spans="1:24" ht="26.85" customHeight="1">
      <c r="A87" s="455" t="s">
        <v>800</v>
      </c>
      <c r="B87" s="460" t="s">
        <v>783</v>
      </c>
      <c r="C87" s="470">
        <v>0.2</v>
      </c>
      <c r="D87" s="456" t="s">
        <v>767</v>
      </c>
      <c r="E87" s="458">
        <f ca="1">'8.0자재단가'!I64</f>
        <v>170000</v>
      </c>
      <c r="F87" s="458">
        <f t="shared" si="4"/>
        <v>34000</v>
      </c>
      <c r="G87" s="453"/>
      <c r="H87" s="453">
        <f t="shared" si="5"/>
        <v>0</v>
      </c>
      <c r="I87" s="453"/>
      <c r="J87" s="453">
        <f t="shared" si="6"/>
        <v>0</v>
      </c>
      <c r="K87" s="459">
        <f t="shared" si="7"/>
        <v>34000</v>
      </c>
    </row>
    <row r="88" spans="1:24" ht="26.85" customHeight="1">
      <c r="A88" s="455" t="s">
        <v>970</v>
      </c>
      <c r="B88" s="456"/>
      <c r="C88" s="471">
        <v>2.5000000000000001E-2</v>
      </c>
      <c r="D88" s="456" t="s">
        <v>820</v>
      </c>
      <c r="E88" s="453"/>
      <c r="F88" s="453">
        <f t="shared" si="4"/>
        <v>0</v>
      </c>
      <c r="G88" s="453">
        <f t="shared" ref="G88:G94" si="8">G71</f>
        <v>92218</v>
      </c>
      <c r="H88" s="458">
        <f t="shared" si="5"/>
        <v>2305</v>
      </c>
      <c r="I88" s="453"/>
      <c r="J88" s="453">
        <f t="shared" si="6"/>
        <v>0</v>
      </c>
      <c r="K88" s="459">
        <f t="shared" si="7"/>
        <v>2305</v>
      </c>
    </row>
    <row r="89" spans="1:24" ht="26.85" customHeight="1">
      <c r="A89" s="455" t="s">
        <v>967</v>
      </c>
      <c r="B89" s="456"/>
      <c r="C89" s="471">
        <v>4.9000000000000002E-2</v>
      </c>
      <c r="D89" s="456" t="s">
        <v>820</v>
      </c>
      <c r="E89" s="453"/>
      <c r="F89" s="453">
        <f t="shared" si="4"/>
        <v>0</v>
      </c>
      <c r="G89" s="453">
        <f t="shared" si="8"/>
        <v>84404</v>
      </c>
      <c r="H89" s="458">
        <f t="shared" si="5"/>
        <v>4135</v>
      </c>
      <c r="I89" s="453"/>
      <c r="J89" s="453">
        <f t="shared" si="6"/>
        <v>0</v>
      </c>
      <c r="K89" s="459">
        <f t="shared" si="7"/>
        <v>4135</v>
      </c>
    </row>
    <row r="90" spans="1:24" ht="26.85" customHeight="1">
      <c r="A90" s="455" t="s">
        <v>971</v>
      </c>
      <c r="B90" s="456"/>
      <c r="C90" s="471">
        <v>0.14499999999999999</v>
      </c>
      <c r="D90" s="456" t="s">
        <v>820</v>
      </c>
      <c r="E90" s="453"/>
      <c r="F90" s="453">
        <f t="shared" si="4"/>
        <v>0</v>
      </c>
      <c r="G90" s="453">
        <f t="shared" si="8"/>
        <v>68965</v>
      </c>
      <c r="H90" s="458">
        <f t="shared" si="5"/>
        <v>9999</v>
      </c>
      <c r="I90" s="453"/>
      <c r="J90" s="453">
        <f t="shared" si="6"/>
        <v>0</v>
      </c>
      <c r="K90" s="459">
        <f t="shared" si="7"/>
        <v>9999</v>
      </c>
    </row>
    <row r="91" spans="1:24" ht="26.85" customHeight="1">
      <c r="A91" s="455" t="s">
        <v>768</v>
      </c>
      <c r="B91" s="456" t="s">
        <v>784</v>
      </c>
      <c r="C91" s="471">
        <v>0.14699999999999999</v>
      </c>
      <c r="D91" s="456" t="s">
        <v>1179</v>
      </c>
      <c r="E91" s="458">
        <f>E74</f>
        <v>8332</v>
      </c>
      <c r="F91" s="458">
        <f t="shared" si="4"/>
        <v>1224</v>
      </c>
      <c r="G91" s="458">
        <f t="shared" si="8"/>
        <v>14915</v>
      </c>
      <c r="H91" s="458">
        <f t="shared" si="5"/>
        <v>2192</v>
      </c>
      <c r="I91" s="458">
        <f>I74</f>
        <v>63069</v>
      </c>
      <c r="J91" s="458">
        <f t="shared" si="6"/>
        <v>9271</v>
      </c>
      <c r="K91" s="459">
        <f t="shared" si="7"/>
        <v>12687</v>
      </c>
    </row>
    <row r="92" spans="1:24" ht="26.85" customHeight="1">
      <c r="A92" s="455" t="s">
        <v>769</v>
      </c>
      <c r="B92" s="456" t="s">
        <v>770</v>
      </c>
      <c r="C92" s="471">
        <v>0.14699999999999999</v>
      </c>
      <c r="D92" s="456" t="s">
        <v>1179</v>
      </c>
      <c r="E92" s="458">
        <f>E75</f>
        <v>6640</v>
      </c>
      <c r="F92" s="458">
        <f t="shared" si="4"/>
        <v>976</v>
      </c>
      <c r="G92" s="458">
        <f t="shared" si="8"/>
        <v>17696</v>
      </c>
      <c r="H92" s="458">
        <f t="shared" si="5"/>
        <v>2601</v>
      </c>
      <c r="I92" s="458">
        <f>I75</f>
        <v>10362</v>
      </c>
      <c r="J92" s="458">
        <f t="shared" si="6"/>
        <v>1523</v>
      </c>
      <c r="K92" s="459">
        <f t="shared" si="7"/>
        <v>5100</v>
      </c>
    </row>
    <row r="93" spans="1:24" ht="26.85" customHeight="1">
      <c r="A93" s="455" t="s">
        <v>817</v>
      </c>
      <c r="B93" s="456" t="s">
        <v>771</v>
      </c>
      <c r="C93" s="471">
        <v>0.14699999999999999</v>
      </c>
      <c r="D93" s="456" t="s">
        <v>1179</v>
      </c>
      <c r="E93" s="458">
        <f>E76</f>
        <v>11978</v>
      </c>
      <c r="F93" s="458">
        <f t="shared" si="4"/>
        <v>1760</v>
      </c>
      <c r="G93" s="458">
        <f t="shared" si="8"/>
        <v>17696</v>
      </c>
      <c r="H93" s="458">
        <f t="shared" si="5"/>
        <v>2601</v>
      </c>
      <c r="I93" s="458">
        <f>I76</f>
        <v>6117</v>
      </c>
      <c r="J93" s="458">
        <f t="shared" si="6"/>
        <v>899</v>
      </c>
      <c r="K93" s="459">
        <f t="shared" si="7"/>
        <v>5260</v>
      </c>
    </row>
    <row r="94" spans="1:24" ht="26.85" customHeight="1">
      <c r="A94" s="455" t="s">
        <v>772</v>
      </c>
      <c r="B94" s="456" t="s">
        <v>773</v>
      </c>
      <c r="C94" s="471">
        <v>0.432</v>
      </c>
      <c r="D94" s="456" t="s">
        <v>1179</v>
      </c>
      <c r="E94" s="458">
        <f>E77</f>
        <v>13117</v>
      </c>
      <c r="F94" s="458">
        <f t="shared" si="4"/>
        <v>5666</v>
      </c>
      <c r="G94" s="458">
        <f t="shared" si="8"/>
        <v>17696</v>
      </c>
      <c r="H94" s="458">
        <f t="shared" si="5"/>
        <v>7644</v>
      </c>
      <c r="I94" s="458">
        <f>I77</f>
        <v>7823</v>
      </c>
      <c r="J94" s="458">
        <f t="shared" si="6"/>
        <v>3379</v>
      </c>
      <c r="K94" s="459">
        <f t="shared" si="7"/>
        <v>16689</v>
      </c>
    </row>
    <row r="95" spans="1:24" ht="26.85" customHeight="1">
      <c r="A95" s="455" t="s">
        <v>774</v>
      </c>
      <c r="B95" s="456" t="s">
        <v>775</v>
      </c>
      <c r="C95" s="471">
        <v>0.14699999999999999</v>
      </c>
      <c r="D95" s="456" t="s">
        <v>1179</v>
      </c>
      <c r="E95" s="453"/>
      <c r="F95" s="453">
        <f t="shared" si="4"/>
        <v>0</v>
      </c>
      <c r="G95" s="453"/>
      <c r="H95" s="453">
        <f t="shared" si="5"/>
        <v>0</v>
      </c>
      <c r="I95" s="458">
        <f>I78</f>
        <v>77</v>
      </c>
      <c r="J95" s="458">
        <f t="shared" si="6"/>
        <v>11</v>
      </c>
      <c r="K95" s="459">
        <f t="shared" si="7"/>
        <v>11</v>
      </c>
    </row>
    <row r="96" spans="1:24" ht="26.85" customHeight="1">
      <c r="A96" s="455" t="s">
        <v>1210</v>
      </c>
      <c r="B96" s="456" t="s">
        <v>776</v>
      </c>
      <c r="C96" s="472">
        <v>1</v>
      </c>
      <c r="D96" s="456" t="s">
        <v>1219</v>
      </c>
      <c r="E96" s="453"/>
      <c r="F96" s="458">
        <f>INT(SUM(F85:F95)*0.03)</f>
        <v>4104</v>
      </c>
      <c r="G96" s="453"/>
      <c r="H96" s="453"/>
      <c r="I96" s="458"/>
      <c r="J96" s="458"/>
      <c r="K96" s="459">
        <f>$F$96</f>
        <v>4104</v>
      </c>
    </row>
    <row r="97" spans="1:24" ht="26.85" customHeight="1">
      <c r="A97" s="455" t="s">
        <v>1212</v>
      </c>
      <c r="B97" s="456" t="s">
        <v>777</v>
      </c>
      <c r="C97" s="472">
        <v>1</v>
      </c>
      <c r="D97" s="456" t="s">
        <v>1219</v>
      </c>
      <c r="E97" s="453"/>
      <c r="F97" s="453">
        <v>481</v>
      </c>
      <c r="G97" s="453"/>
      <c r="H97" s="458"/>
      <c r="I97" s="458"/>
      <c r="J97" s="458"/>
      <c r="K97" s="459">
        <f>F97+H97+J97</f>
        <v>481</v>
      </c>
    </row>
    <row r="98" spans="1:24" ht="26.85" customHeight="1">
      <c r="A98" s="473" t="s">
        <v>801</v>
      </c>
      <c r="B98" s="474" t="s">
        <v>797</v>
      </c>
      <c r="C98" s="475">
        <v>1</v>
      </c>
      <c r="D98" s="460" t="s">
        <v>788</v>
      </c>
      <c r="E98" s="453"/>
      <c r="F98" s="453">
        <v>10918</v>
      </c>
      <c r="G98" s="453"/>
      <c r="H98" s="453">
        <v>17079</v>
      </c>
      <c r="I98" s="453"/>
      <c r="J98" s="453">
        <v>0</v>
      </c>
      <c r="K98" s="459">
        <f>+J98+H98+F98</f>
        <v>27997</v>
      </c>
    </row>
    <row r="99" spans="1:24" ht="26.85" customHeight="1">
      <c r="A99" s="455" t="s">
        <v>786</v>
      </c>
      <c r="B99" s="456"/>
      <c r="C99" s="476"/>
      <c r="D99" s="456"/>
      <c r="E99" s="453"/>
      <c r="F99" s="458">
        <f>SUM(F85:F98)</f>
        <v>152329</v>
      </c>
      <c r="G99" s="453"/>
      <c r="H99" s="458">
        <f>SUM(H85:H98)</f>
        <v>48556</v>
      </c>
      <c r="I99" s="458"/>
      <c r="J99" s="458">
        <f>SUM(J85:J98)</f>
        <v>15083</v>
      </c>
      <c r="K99" s="459">
        <f>SUM(K85:K98)</f>
        <v>215968</v>
      </c>
    </row>
    <row r="100" spans="1:24" ht="26.85" customHeight="1">
      <c r="A100" s="1725">
        <f>INT(K99/10)</f>
        <v>21596</v>
      </c>
      <c r="B100" s="1726"/>
      <c r="C100" s="1726"/>
      <c r="D100" s="1726"/>
      <c r="E100" s="1726"/>
      <c r="F100" s="1726"/>
      <c r="G100" s="1726"/>
      <c r="H100" s="1726"/>
      <c r="I100" s="1726"/>
      <c r="J100" s="1726"/>
      <c r="K100" s="1727"/>
    </row>
    <row r="101" spans="1:24" ht="26.85" customHeight="1">
      <c r="A101" s="463"/>
      <c r="B101" s="464"/>
      <c r="C101" s="477"/>
      <c r="D101" s="464"/>
      <c r="E101" s="466"/>
      <c r="F101" s="466"/>
      <c r="G101" s="466"/>
      <c r="H101" s="466"/>
      <c r="I101" s="466"/>
      <c r="J101" s="466"/>
      <c r="K101" s="467"/>
    </row>
    <row r="102" spans="1:24" s="449" customFormat="1" ht="26.1" customHeight="1">
      <c r="A102" s="1868" t="s">
        <v>1218</v>
      </c>
      <c r="B102" s="1866" t="s">
        <v>763</v>
      </c>
      <c r="C102" s="1864" t="s">
        <v>799</v>
      </c>
      <c r="D102" s="1866" t="s">
        <v>983</v>
      </c>
      <c r="E102" s="1863" t="s">
        <v>764</v>
      </c>
      <c r="F102" s="1863"/>
      <c r="G102" s="1863" t="s">
        <v>765</v>
      </c>
      <c r="H102" s="1863"/>
      <c r="I102" s="1863" t="s">
        <v>793</v>
      </c>
      <c r="J102" s="1863"/>
      <c r="K102" s="450" t="s">
        <v>796</v>
      </c>
      <c r="L102" s="448"/>
      <c r="M102" s="448"/>
      <c r="N102" s="448"/>
      <c r="O102" s="448"/>
      <c r="P102" s="448"/>
      <c r="Q102" s="448"/>
      <c r="R102" s="448"/>
      <c r="S102" s="448"/>
      <c r="T102" s="448"/>
      <c r="U102" s="448"/>
      <c r="V102" s="448"/>
      <c r="W102" s="448"/>
      <c r="X102" s="448"/>
    </row>
    <row r="103" spans="1:24" s="449" customFormat="1" ht="26.1" customHeight="1">
      <c r="A103" s="1869"/>
      <c r="B103" s="1867"/>
      <c r="C103" s="1865"/>
      <c r="D103" s="1867"/>
      <c r="E103" s="451" t="s">
        <v>794</v>
      </c>
      <c r="F103" s="451" t="s">
        <v>795</v>
      </c>
      <c r="G103" s="451" t="s">
        <v>794</v>
      </c>
      <c r="H103" s="451" t="s">
        <v>795</v>
      </c>
      <c r="I103" s="451" t="s">
        <v>794</v>
      </c>
      <c r="J103" s="451" t="s">
        <v>795</v>
      </c>
      <c r="K103" s="452" t="s">
        <v>795</v>
      </c>
      <c r="L103" s="448"/>
      <c r="M103" s="448"/>
      <c r="N103" s="448"/>
      <c r="O103" s="448"/>
      <c r="P103" s="448"/>
      <c r="Q103" s="448"/>
      <c r="R103" s="448"/>
      <c r="S103" s="448"/>
      <c r="T103" s="448"/>
      <c r="U103" s="448"/>
      <c r="V103" s="448"/>
      <c r="W103" s="448"/>
      <c r="X103" s="448"/>
    </row>
    <row r="104" spans="1:24" ht="26.1" customHeight="1">
      <c r="A104" s="1874" t="s">
        <v>790</v>
      </c>
      <c r="B104" s="1875"/>
      <c r="C104" s="1875"/>
      <c r="D104" s="1875"/>
      <c r="E104" s="1875"/>
      <c r="F104" s="1875"/>
      <c r="G104" s="453"/>
      <c r="H104" s="453"/>
      <c r="I104" s="453"/>
      <c r="J104" s="453"/>
      <c r="K104" s="454"/>
    </row>
    <row r="105" spans="1:24" ht="26.1" customHeight="1">
      <c r="A105" s="455" t="s">
        <v>779</v>
      </c>
      <c r="B105" s="456" t="s">
        <v>780</v>
      </c>
      <c r="C105" s="470">
        <v>220</v>
      </c>
      <c r="D105" s="456" t="s">
        <v>766</v>
      </c>
      <c r="E105" s="458">
        <f ca="1">'8.0자재단가'!I62</f>
        <v>840</v>
      </c>
      <c r="F105" s="458">
        <f t="shared" ref="F105:F115" si="9">INT(E105*C105)</f>
        <v>184800</v>
      </c>
      <c r="G105" s="453"/>
      <c r="H105" s="453">
        <f t="shared" ref="H105:H115" si="10">INT(G105*C105)</f>
        <v>0</v>
      </c>
      <c r="I105" s="453"/>
      <c r="J105" s="453">
        <f t="shared" ref="J105:J115" si="11">INT(I105*C105)</f>
        <v>0</v>
      </c>
      <c r="K105" s="459">
        <f t="shared" ref="K105:K119" si="12">+J105+H105+F105</f>
        <v>184800</v>
      </c>
    </row>
    <row r="106" spans="1:24" ht="26.1" customHeight="1">
      <c r="A106" s="455" t="s">
        <v>781</v>
      </c>
      <c r="B106" s="456" t="s">
        <v>782</v>
      </c>
      <c r="C106" s="470">
        <v>40</v>
      </c>
      <c r="D106" s="456" t="s">
        <v>1199</v>
      </c>
      <c r="E106" s="458">
        <f ca="1">'8.0자재단가'!I63</f>
        <v>40</v>
      </c>
      <c r="F106" s="458">
        <f t="shared" si="9"/>
        <v>1600</v>
      </c>
      <c r="G106" s="453"/>
      <c r="H106" s="453">
        <f t="shared" si="10"/>
        <v>0</v>
      </c>
      <c r="I106" s="453"/>
      <c r="J106" s="453">
        <f t="shared" si="11"/>
        <v>0</v>
      </c>
      <c r="K106" s="459">
        <f t="shared" si="12"/>
        <v>1600</v>
      </c>
    </row>
    <row r="107" spans="1:24" ht="26.1" customHeight="1">
      <c r="A107" s="455" t="s">
        <v>800</v>
      </c>
      <c r="B107" s="460" t="s">
        <v>783</v>
      </c>
      <c r="C107" s="470">
        <v>0.2</v>
      </c>
      <c r="D107" s="456" t="s">
        <v>767</v>
      </c>
      <c r="E107" s="458">
        <f ca="1">'8.0자재단가'!I64</f>
        <v>170000</v>
      </c>
      <c r="F107" s="458">
        <f t="shared" si="9"/>
        <v>34000</v>
      </c>
      <c r="G107" s="453"/>
      <c r="H107" s="453">
        <f t="shared" si="10"/>
        <v>0</v>
      </c>
      <c r="I107" s="453"/>
      <c r="J107" s="453">
        <f t="shared" si="11"/>
        <v>0</v>
      </c>
      <c r="K107" s="459">
        <f t="shared" si="12"/>
        <v>34000</v>
      </c>
    </row>
    <row r="108" spans="1:24" ht="26.1" customHeight="1">
      <c r="A108" s="455" t="s">
        <v>970</v>
      </c>
      <c r="B108" s="456"/>
      <c r="C108" s="471">
        <v>3.4000000000000002E-2</v>
      </c>
      <c r="D108" s="456" t="s">
        <v>820</v>
      </c>
      <c r="E108" s="453"/>
      <c r="F108" s="453">
        <f t="shared" si="9"/>
        <v>0</v>
      </c>
      <c r="G108" s="453">
        <f t="shared" ref="G108:G114" si="13">G88</f>
        <v>92218</v>
      </c>
      <c r="H108" s="458">
        <f t="shared" si="10"/>
        <v>3135</v>
      </c>
      <c r="I108" s="453"/>
      <c r="J108" s="453">
        <f t="shared" si="11"/>
        <v>0</v>
      </c>
      <c r="K108" s="459">
        <f t="shared" si="12"/>
        <v>3135</v>
      </c>
    </row>
    <row r="109" spans="1:24" ht="26.1" customHeight="1">
      <c r="A109" s="455" t="s">
        <v>967</v>
      </c>
      <c r="B109" s="456"/>
      <c r="C109" s="471">
        <v>6.7000000000000004E-2</v>
      </c>
      <c r="D109" s="456" t="s">
        <v>820</v>
      </c>
      <c r="E109" s="453"/>
      <c r="F109" s="453">
        <f t="shared" si="9"/>
        <v>0</v>
      </c>
      <c r="G109" s="453">
        <f t="shared" si="13"/>
        <v>84404</v>
      </c>
      <c r="H109" s="458">
        <f t="shared" si="10"/>
        <v>5655</v>
      </c>
      <c r="I109" s="453"/>
      <c r="J109" s="453">
        <f t="shared" si="11"/>
        <v>0</v>
      </c>
      <c r="K109" s="459">
        <f t="shared" si="12"/>
        <v>5655</v>
      </c>
    </row>
    <row r="110" spans="1:24" ht="26.1" customHeight="1">
      <c r="A110" s="455" t="s">
        <v>971</v>
      </c>
      <c r="B110" s="456"/>
      <c r="C110" s="471">
        <v>0.17799999999999999</v>
      </c>
      <c r="D110" s="456" t="s">
        <v>820</v>
      </c>
      <c r="E110" s="453"/>
      <c r="F110" s="453">
        <f t="shared" si="9"/>
        <v>0</v>
      </c>
      <c r="G110" s="453">
        <f t="shared" si="13"/>
        <v>68965</v>
      </c>
      <c r="H110" s="458">
        <f t="shared" si="10"/>
        <v>12275</v>
      </c>
      <c r="I110" s="453"/>
      <c r="J110" s="453">
        <f t="shared" si="11"/>
        <v>0</v>
      </c>
      <c r="K110" s="459">
        <f t="shared" si="12"/>
        <v>12275</v>
      </c>
    </row>
    <row r="111" spans="1:24" ht="26.1" customHeight="1">
      <c r="A111" s="455" t="s">
        <v>768</v>
      </c>
      <c r="B111" s="456" t="s">
        <v>784</v>
      </c>
      <c r="C111" s="471">
        <v>0.20300000000000001</v>
      </c>
      <c r="D111" s="456" t="s">
        <v>1179</v>
      </c>
      <c r="E111" s="458">
        <f>E91</f>
        <v>8332</v>
      </c>
      <c r="F111" s="458">
        <f t="shared" si="9"/>
        <v>1691</v>
      </c>
      <c r="G111" s="458">
        <f t="shared" si="13"/>
        <v>14915</v>
      </c>
      <c r="H111" s="458">
        <f t="shared" si="10"/>
        <v>3027</v>
      </c>
      <c r="I111" s="458">
        <f>I91</f>
        <v>63069</v>
      </c>
      <c r="J111" s="458">
        <f t="shared" si="11"/>
        <v>12803</v>
      </c>
      <c r="K111" s="459">
        <f t="shared" si="12"/>
        <v>17521</v>
      </c>
    </row>
    <row r="112" spans="1:24" ht="26.1" customHeight="1">
      <c r="A112" s="455" t="s">
        <v>769</v>
      </c>
      <c r="B112" s="456" t="s">
        <v>770</v>
      </c>
      <c r="C112" s="471">
        <v>0.20300000000000001</v>
      </c>
      <c r="D112" s="456" t="s">
        <v>1179</v>
      </c>
      <c r="E112" s="458">
        <f>E92</f>
        <v>6640</v>
      </c>
      <c r="F112" s="458">
        <f t="shared" si="9"/>
        <v>1347</v>
      </c>
      <c r="G112" s="458">
        <f t="shared" si="13"/>
        <v>17696</v>
      </c>
      <c r="H112" s="458">
        <f t="shared" si="10"/>
        <v>3592</v>
      </c>
      <c r="I112" s="458">
        <f>I92</f>
        <v>10362</v>
      </c>
      <c r="J112" s="458">
        <f t="shared" si="11"/>
        <v>2103</v>
      </c>
      <c r="K112" s="459">
        <f t="shared" si="12"/>
        <v>7042</v>
      </c>
    </row>
    <row r="113" spans="1:11" ht="26.1" customHeight="1">
      <c r="A113" s="455" t="s">
        <v>817</v>
      </c>
      <c r="B113" s="456" t="s">
        <v>771</v>
      </c>
      <c r="C113" s="471">
        <v>0.20300000000000001</v>
      </c>
      <c r="D113" s="456" t="s">
        <v>1179</v>
      </c>
      <c r="E113" s="458">
        <f>E93</f>
        <v>11978</v>
      </c>
      <c r="F113" s="458">
        <f t="shared" si="9"/>
        <v>2431</v>
      </c>
      <c r="G113" s="458">
        <f t="shared" si="13"/>
        <v>17696</v>
      </c>
      <c r="H113" s="458">
        <f t="shared" si="10"/>
        <v>3592</v>
      </c>
      <c r="I113" s="458">
        <f>I93</f>
        <v>6117</v>
      </c>
      <c r="J113" s="458">
        <f t="shared" si="11"/>
        <v>1241</v>
      </c>
      <c r="K113" s="459">
        <f t="shared" si="12"/>
        <v>7264</v>
      </c>
    </row>
    <row r="114" spans="1:11" ht="26.1" customHeight="1">
      <c r="A114" s="455" t="s">
        <v>772</v>
      </c>
      <c r="B114" s="456" t="s">
        <v>773</v>
      </c>
      <c r="C114" s="471">
        <v>0.48499999999999999</v>
      </c>
      <c r="D114" s="456" t="s">
        <v>1179</v>
      </c>
      <c r="E114" s="458">
        <f>E94</f>
        <v>13117</v>
      </c>
      <c r="F114" s="458">
        <f t="shared" si="9"/>
        <v>6361</v>
      </c>
      <c r="G114" s="458">
        <f t="shared" si="13"/>
        <v>17696</v>
      </c>
      <c r="H114" s="458">
        <f t="shared" si="10"/>
        <v>8582</v>
      </c>
      <c r="I114" s="458">
        <f>I94</f>
        <v>7823</v>
      </c>
      <c r="J114" s="458">
        <f t="shared" si="11"/>
        <v>3794</v>
      </c>
      <c r="K114" s="459">
        <f t="shared" si="12"/>
        <v>18737</v>
      </c>
    </row>
    <row r="115" spans="1:11" ht="26.1" customHeight="1">
      <c r="A115" s="455" t="s">
        <v>774</v>
      </c>
      <c r="B115" s="456" t="s">
        <v>775</v>
      </c>
      <c r="C115" s="471">
        <v>0.20300000000000001</v>
      </c>
      <c r="D115" s="456" t="s">
        <v>1179</v>
      </c>
      <c r="E115" s="453"/>
      <c r="F115" s="453">
        <f t="shared" si="9"/>
        <v>0</v>
      </c>
      <c r="G115" s="453"/>
      <c r="H115" s="453">
        <f t="shared" si="10"/>
        <v>0</v>
      </c>
      <c r="I115" s="458">
        <f>I95</f>
        <v>77</v>
      </c>
      <c r="J115" s="458">
        <f t="shared" si="11"/>
        <v>15</v>
      </c>
      <c r="K115" s="459">
        <f t="shared" si="12"/>
        <v>15</v>
      </c>
    </row>
    <row r="116" spans="1:11" ht="26.1" customHeight="1">
      <c r="A116" s="455" t="s">
        <v>1210</v>
      </c>
      <c r="B116" s="456" t="s">
        <v>776</v>
      </c>
      <c r="C116" s="476">
        <v>1</v>
      </c>
      <c r="D116" s="456" t="s">
        <v>1219</v>
      </c>
      <c r="E116" s="453"/>
      <c r="F116" s="458">
        <f>INT(SUM(F105:F115)*0.03)</f>
        <v>6966</v>
      </c>
      <c r="G116" s="453"/>
      <c r="H116" s="453"/>
      <c r="I116" s="458"/>
      <c r="J116" s="458"/>
      <c r="K116" s="459">
        <f t="shared" si="12"/>
        <v>6966</v>
      </c>
    </row>
    <row r="117" spans="1:11" ht="26.1" customHeight="1">
      <c r="A117" s="455" t="s">
        <v>1212</v>
      </c>
      <c r="B117" s="456" t="s">
        <v>777</v>
      </c>
      <c r="C117" s="476">
        <v>1</v>
      </c>
      <c r="D117" s="456" t="s">
        <v>1219</v>
      </c>
      <c r="E117" s="453"/>
      <c r="F117" s="453">
        <v>609</v>
      </c>
      <c r="G117" s="453"/>
      <c r="H117" s="458"/>
      <c r="I117" s="458"/>
      <c r="J117" s="458"/>
      <c r="K117" s="459">
        <f t="shared" si="12"/>
        <v>609</v>
      </c>
    </row>
    <row r="118" spans="1:11" ht="26.1" customHeight="1">
      <c r="A118" s="473" t="s">
        <v>801</v>
      </c>
      <c r="B118" s="474" t="s">
        <v>797</v>
      </c>
      <c r="C118" s="475">
        <v>1</v>
      </c>
      <c r="D118" s="460" t="s">
        <v>788</v>
      </c>
      <c r="E118" s="453"/>
      <c r="F118" s="453">
        <v>10918</v>
      </c>
      <c r="G118" s="453"/>
      <c r="H118" s="453">
        <v>17079</v>
      </c>
      <c r="I118" s="453"/>
      <c r="J118" s="453">
        <v>0</v>
      </c>
      <c r="K118" s="459">
        <f t="shared" si="12"/>
        <v>27997</v>
      </c>
    </row>
    <row r="119" spans="1:11" ht="26.1" customHeight="1">
      <c r="A119" s="455" t="s">
        <v>786</v>
      </c>
      <c r="B119" s="456"/>
      <c r="C119" s="476"/>
      <c r="D119" s="456"/>
      <c r="E119" s="453"/>
      <c r="F119" s="458">
        <f>SUM(F105:F118)</f>
        <v>250723</v>
      </c>
      <c r="G119" s="453"/>
      <c r="H119" s="458">
        <f>SUM(H105:H118)</f>
        <v>56937</v>
      </c>
      <c r="I119" s="458"/>
      <c r="J119" s="458">
        <f>SUM(J105:J118)</f>
        <v>19956</v>
      </c>
      <c r="K119" s="459">
        <f t="shared" si="12"/>
        <v>327616</v>
      </c>
    </row>
    <row r="120" spans="1:11" ht="26.1" customHeight="1">
      <c r="A120" s="1725">
        <f>INT(K119/10)</f>
        <v>32761</v>
      </c>
      <c r="B120" s="1726"/>
      <c r="C120" s="1726"/>
      <c r="D120" s="1726"/>
      <c r="E120" s="1726"/>
      <c r="F120" s="1726"/>
      <c r="G120" s="1726"/>
      <c r="H120" s="1726"/>
      <c r="I120" s="1726"/>
      <c r="J120" s="1726"/>
      <c r="K120" s="1727"/>
    </row>
    <row r="121" spans="1:11" ht="26.1" customHeight="1">
      <c r="A121" s="463"/>
      <c r="B121" s="464"/>
      <c r="C121" s="477"/>
      <c r="D121" s="464"/>
      <c r="E121" s="466"/>
      <c r="F121" s="466"/>
      <c r="G121" s="466"/>
      <c r="H121" s="466"/>
      <c r="I121" s="466"/>
      <c r="J121" s="466"/>
      <c r="K121" s="467"/>
    </row>
    <row r="122" spans="1:11" ht="26.85" customHeight="1">
      <c r="A122" s="1870" t="s">
        <v>791</v>
      </c>
      <c r="B122" s="1871"/>
      <c r="C122" s="1871"/>
      <c r="D122" s="1871"/>
      <c r="E122" s="1871"/>
      <c r="F122" s="1871"/>
      <c r="G122" s="468"/>
      <c r="H122" s="468"/>
      <c r="I122" s="468"/>
      <c r="J122" s="468"/>
      <c r="K122" s="469"/>
    </row>
    <row r="123" spans="1:11" ht="26.85" customHeight="1">
      <c r="A123" s="455" t="s">
        <v>779</v>
      </c>
      <c r="B123" s="456" t="s">
        <v>780</v>
      </c>
      <c r="C123" s="470">
        <v>330</v>
      </c>
      <c r="D123" s="456" t="s">
        <v>766</v>
      </c>
      <c r="E123" s="458">
        <f ca="1">'8.0자재단가'!I62</f>
        <v>840</v>
      </c>
      <c r="F123" s="458">
        <f t="shared" ref="F123:F133" si="14">INT(E123*C123)</f>
        <v>277200</v>
      </c>
      <c r="G123" s="453"/>
      <c r="H123" s="453">
        <f t="shared" ref="H123:H133" si="15">INT(G123*C123)</f>
        <v>0</v>
      </c>
      <c r="I123" s="453"/>
      <c r="J123" s="453">
        <f t="shared" ref="J123:J133" si="16">INT(I123*C123)</f>
        <v>0</v>
      </c>
      <c r="K123" s="459">
        <f t="shared" ref="K123:K137" si="17">+J123+H123+F123</f>
        <v>277200</v>
      </c>
    </row>
    <row r="124" spans="1:11" ht="26.85" customHeight="1">
      <c r="A124" s="455" t="s">
        <v>781</v>
      </c>
      <c r="B124" s="456" t="s">
        <v>782</v>
      </c>
      <c r="C124" s="470">
        <v>60</v>
      </c>
      <c r="D124" s="456" t="s">
        <v>1199</v>
      </c>
      <c r="E124" s="458">
        <f ca="1">'8.0자재단가'!I63</f>
        <v>40</v>
      </c>
      <c r="F124" s="458">
        <f t="shared" si="14"/>
        <v>2400</v>
      </c>
      <c r="G124" s="453"/>
      <c r="H124" s="453">
        <f t="shared" si="15"/>
        <v>0</v>
      </c>
      <c r="I124" s="453"/>
      <c r="J124" s="453">
        <f t="shared" si="16"/>
        <v>0</v>
      </c>
      <c r="K124" s="459">
        <f t="shared" si="17"/>
        <v>2400</v>
      </c>
    </row>
    <row r="125" spans="1:11" ht="26.85" customHeight="1">
      <c r="A125" s="455" t="s">
        <v>800</v>
      </c>
      <c r="B125" s="460" t="s">
        <v>783</v>
      </c>
      <c r="C125" s="470">
        <v>0.2</v>
      </c>
      <c r="D125" s="456" t="s">
        <v>767</v>
      </c>
      <c r="E125" s="458">
        <f ca="1">'8.0자재단가'!I64</f>
        <v>170000</v>
      </c>
      <c r="F125" s="458">
        <f t="shared" si="14"/>
        <v>34000</v>
      </c>
      <c r="G125" s="453"/>
      <c r="H125" s="453">
        <f t="shared" si="15"/>
        <v>0</v>
      </c>
      <c r="I125" s="453"/>
      <c r="J125" s="453">
        <f t="shared" si="16"/>
        <v>0</v>
      </c>
      <c r="K125" s="459">
        <f t="shared" si="17"/>
        <v>34000</v>
      </c>
    </row>
    <row r="126" spans="1:11" ht="26.85" customHeight="1">
      <c r="A126" s="455" t="s">
        <v>970</v>
      </c>
      <c r="B126" s="456"/>
      <c r="C126" s="471">
        <v>4.5999999999999999E-2</v>
      </c>
      <c r="D126" s="456" t="s">
        <v>820</v>
      </c>
      <c r="E126" s="453"/>
      <c r="F126" s="453">
        <f t="shared" si="14"/>
        <v>0</v>
      </c>
      <c r="G126" s="453">
        <f t="shared" ref="G126:G132" si="18">G108</f>
        <v>92218</v>
      </c>
      <c r="H126" s="458">
        <f t="shared" si="15"/>
        <v>4242</v>
      </c>
      <c r="I126" s="453"/>
      <c r="J126" s="453">
        <f t="shared" si="16"/>
        <v>0</v>
      </c>
      <c r="K126" s="459">
        <f t="shared" si="17"/>
        <v>4242</v>
      </c>
    </row>
    <row r="127" spans="1:11" ht="26.85" customHeight="1">
      <c r="A127" s="455" t="s">
        <v>967</v>
      </c>
      <c r="B127" s="456"/>
      <c r="C127" s="471">
        <v>9.0999999999999998E-2</v>
      </c>
      <c r="D127" s="456" t="s">
        <v>820</v>
      </c>
      <c r="E127" s="453"/>
      <c r="F127" s="453">
        <f t="shared" si="14"/>
        <v>0</v>
      </c>
      <c r="G127" s="453">
        <f t="shared" si="18"/>
        <v>84404</v>
      </c>
      <c r="H127" s="458">
        <f t="shared" si="15"/>
        <v>7680</v>
      </c>
      <c r="I127" s="453"/>
      <c r="J127" s="453">
        <f t="shared" si="16"/>
        <v>0</v>
      </c>
      <c r="K127" s="459">
        <f t="shared" si="17"/>
        <v>7680</v>
      </c>
    </row>
    <row r="128" spans="1:11" ht="26.85" customHeight="1">
      <c r="A128" s="455" t="s">
        <v>971</v>
      </c>
      <c r="B128" s="456"/>
      <c r="C128" s="471">
        <v>0.223</v>
      </c>
      <c r="D128" s="456" t="s">
        <v>820</v>
      </c>
      <c r="E128" s="453"/>
      <c r="F128" s="453">
        <f t="shared" si="14"/>
        <v>0</v>
      </c>
      <c r="G128" s="453">
        <f t="shared" si="18"/>
        <v>68965</v>
      </c>
      <c r="H128" s="458">
        <f t="shared" si="15"/>
        <v>15379</v>
      </c>
      <c r="I128" s="453"/>
      <c r="J128" s="453">
        <f t="shared" si="16"/>
        <v>0</v>
      </c>
      <c r="K128" s="459">
        <f t="shared" si="17"/>
        <v>15379</v>
      </c>
    </row>
    <row r="129" spans="1:24" ht="26.85" customHeight="1">
      <c r="A129" s="455" t="s">
        <v>768</v>
      </c>
      <c r="B129" s="456" t="s">
        <v>784</v>
      </c>
      <c r="C129" s="471">
        <v>0.27700000000000002</v>
      </c>
      <c r="D129" s="456" t="s">
        <v>1179</v>
      </c>
      <c r="E129" s="458">
        <f>E111</f>
        <v>8332</v>
      </c>
      <c r="F129" s="458">
        <f t="shared" si="14"/>
        <v>2307</v>
      </c>
      <c r="G129" s="458">
        <f t="shared" si="18"/>
        <v>14915</v>
      </c>
      <c r="H129" s="458">
        <f t="shared" si="15"/>
        <v>4131</v>
      </c>
      <c r="I129" s="458">
        <f>I111</f>
        <v>63069</v>
      </c>
      <c r="J129" s="458">
        <f t="shared" si="16"/>
        <v>17470</v>
      </c>
      <c r="K129" s="459">
        <f t="shared" si="17"/>
        <v>23908</v>
      </c>
    </row>
    <row r="130" spans="1:24" ht="26.85" customHeight="1">
      <c r="A130" s="455" t="s">
        <v>769</v>
      </c>
      <c r="B130" s="456" t="s">
        <v>770</v>
      </c>
      <c r="C130" s="471">
        <v>0.27700000000000002</v>
      </c>
      <c r="D130" s="456" t="s">
        <v>1179</v>
      </c>
      <c r="E130" s="458">
        <f>E112</f>
        <v>6640</v>
      </c>
      <c r="F130" s="458">
        <f t="shared" si="14"/>
        <v>1839</v>
      </c>
      <c r="G130" s="458">
        <f t="shared" si="18"/>
        <v>17696</v>
      </c>
      <c r="H130" s="458">
        <f t="shared" si="15"/>
        <v>4901</v>
      </c>
      <c r="I130" s="458">
        <f>I112</f>
        <v>10362</v>
      </c>
      <c r="J130" s="458">
        <f t="shared" si="16"/>
        <v>2870</v>
      </c>
      <c r="K130" s="459">
        <f t="shared" si="17"/>
        <v>9610</v>
      </c>
    </row>
    <row r="131" spans="1:24" ht="26.85" customHeight="1">
      <c r="A131" s="455" t="s">
        <v>817</v>
      </c>
      <c r="B131" s="456" t="s">
        <v>771</v>
      </c>
      <c r="C131" s="471">
        <v>0.27700000000000002</v>
      </c>
      <c r="D131" s="456" t="s">
        <v>1179</v>
      </c>
      <c r="E131" s="458">
        <f>E113</f>
        <v>11978</v>
      </c>
      <c r="F131" s="458">
        <f t="shared" si="14"/>
        <v>3317</v>
      </c>
      <c r="G131" s="458">
        <f t="shared" si="18"/>
        <v>17696</v>
      </c>
      <c r="H131" s="458">
        <f t="shared" si="15"/>
        <v>4901</v>
      </c>
      <c r="I131" s="458">
        <f>I113</f>
        <v>6117</v>
      </c>
      <c r="J131" s="458">
        <f t="shared" si="16"/>
        <v>1694</v>
      </c>
      <c r="K131" s="459">
        <f t="shared" si="17"/>
        <v>9912</v>
      </c>
    </row>
    <row r="132" spans="1:24" ht="26.85" customHeight="1">
      <c r="A132" s="455" t="s">
        <v>772</v>
      </c>
      <c r="B132" s="456" t="s">
        <v>773</v>
      </c>
      <c r="C132" s="471">
        <v>0.55400000000000005</v>
      </c>
      <c r="D132" s="456" t="s">
        <v>1179</v>
      </c>
      <c r="E132" s="458">
        <f>E114</f>
        <v>13117</v>
      </c>
      <c r="F132" s="458">
        <f t="shared" si="14"/>
        <v>7266</v>
      </c>
      <c r="G132" s="458">
        <f t="shared" si="18"/>
        <v>17696</v>
      </c>
      <c r="H132" s="458">
        <f t="shared" si="15"/>
        <v>9803</v>
      </c>
      <c r="I132" s="458">
        <f>I114</f>
        <v>7823</v>
      </c>
      <c r="J132" s="458">
        <f t="shared" si="16"/>
        <v>4333</v>
      </c>
      <c r="K132" s="459">
        <f t="shared" si="17"/>
        <v>21402</v>
      </c>
    </row>
    <row r="133" spans="1:24" ht="26.85" customHeight="1">
      <c r="A133" s="455" t="s">
        <v>774</v>
      </c>
      <c r="B133" s="456" t="s">
        <v>775</v>
      </c>
      <c r="C133" s="471">
        <v>0.27700000000000002</v>
      </c>
      <c r="D133" s="456" t="s">
        <v>1179</v>
      </c>
      <c r="E133" s="453"/>
      <c r="F133" s="453">
        <f t="shared" si="14"/>
        <v>0</v>
      </c>
      <c r="G133" s="453"/>
      <c r="H133" s="453">
        <f t="shared" si="15"/>
        <v>0</v>
      </c>
      <c r="I133" s="458">
        <v>77</v>
      </c>
      <c r="J133" s="458">
        <f t="shared" si="16"/>
        <v>21</v>
      </c>
      <c r="K133" s="459">
        <f t="shared" si="17"/>
        <v>21</v>
      </c>
    </row>
    <row r="134" spans="1:24" ht="26.85" customHeight="1">
      <c r="A134" s="455" t="s">
        <v>1210</v>
      </c>
      <c r="B134" s="456" t="s">
        <v>776</v>
      </c>
      <c r="C134" s="476">
        <v>1</v>
      </c>
      <c r="D134" s="456" t="s">
        <v>1219</v>
      </c>
      <c r="E134" s="453"/>
      <c r="F134" s="458">
        <f>INT(SUM(F123:F133)*0.03)</f>
        <v>9849</v>
      </c>
      <c r="G134" s="453"/>
      <c r="H134" s="453"/>
      <c r="I134" s="458"/>
      <c r="J134" s="458"/>
      <c r="K134" s="459">
        <f t="shared" si="17"/>
        <v>9849</v>
      </c>
    </row>
    <row r="135" spans="1:24" ht="26.85" customHeight="1">
      <c r="A135" s="455" t="s">
        <v>1212</v>
      </c>
      <c r="B135" s="456" t="s">
        <v>777</v>
      </c>
      <c r="C135" s="476">
        <v>1</v>
      </c>
      <c r="D135" s="456" t="s">
        <v>1219</v>
      </c>
      <c r="E135" s="453"/>
      <c r="F135" s="453">
        <v>781</v>
      </c>
      <c r="G135" s="453"/>
      <c r="H135" s="458"/>
      <c r="I135" s="458"/>
      <c r="J135" s="458"/>
      <c r="K135" s="459">
        <f t="shared" si="17"/>
        <v>781</v>
      </c>
    </row>
    <row r="136" spans="1:24" ht="26.85" customHeight="1">
      <c r="A136" s="455" t="s">
        <v>789</v>
      </c>
      <c r="B136" s="460" t="s">
        <v>798</v>
      </c>
      <c r="C136" s="476">
        <v>1</v>
      </c>
      <c r="D136" s="456" t="s">
        <v>788</v>
      </c>
      <c r="E136" s="453"/>
      <c r="F136" s="453">
        <v>36754</v>
      </c>
      <c r="G136" s="453"/>
      <c r="H136" s="453">
        <v>52230</v>
      </c>
      <c r="I136" s="453"/>
      <c r="J136" s="453">
        <v>888</v>
      </c>
      <c r="K136" s="459">
        <f t="shared" si="17"/>
        <v>89872</v>
      </c>
    </row>
    <row r="137" spans="1:24" ht="24" customHeight="1">
      <c r="A137" s="455" t="s">
        <v>786</v>
      </c>
      <c r="B137" s="456"/>
      <c r="C137" s="476"/>
      <c r="D137" s="456"/>
      <c r="E137" s="453"/>
      <c r="F137" s="458">
        <f>SUM(F123:F136)</f>
        <v>375713</v>
      </c>
      <c r="G137" s="478"/>
      <c r="H137" s="458">
        <f>SUM(H123:H136)</f>
        <v>103267</v>
      </c>
      <c r="I137" s="478"/>
      <c r="J137" s="458">
        <f>SUM(J123:J136)</f>
        <v>27276</v>
      </c>
      <c r="K137" s="459">
        <f t="shared" si="17"/>
        <v>506256</v>
      </c>
    </row>
    <row r="138" spans="1:24" ht="24" customHeight="1">
      <c r="A138" s="1722">
        <f>INT(K137/10)</f>
        <v>50625</v>
      </c>
      <c r="B138" s="1723"/>
      <c r="C138" s="1723"/>
      <c r="D138" s="1723"/>
      <c r="E138" s="1723"/>
      <c r="F138" s="1723"/>
      <c r="G138" s="1723"/>
      <c r="H138" s="1723"/>
      <c r="I138" s="1723"/>
      <c r="J138" s="1723"/>
      <c r="K138" s="1724"/>
    </row>
    <row r="139" spans="1:24" ht="24" customHeight="1">
      <c r="A139" s="463"/>
      <c r="B139" s="464"/>
      <c r="C139" s="477"/>
      <c r="D139" s="464"/>
      <c r="E139" s="466"/>
      <c r="F139" s="466"/>
      <c r="G139" s="466"/>
      <c r="H139" s="466"/>
      <c r="I139" s="479"/>
      <c r="J139" s="479"/>
      <c r="K139" s="467"/>
    </row>
    <row r="140" spans="1:24" s="449" customFormat="1" ht="26.1" customHeight="1">
      <c r="A140" s="1868" t="s">
        <v>1218</v>
      </c>
      <c r="B140" s="1866" t="s">
        <v>763</v>
      </c>
      <c r="C140" s="1864" t="s">
        <v>799</v>
      </c>
      <c r="D140" s="1866" t="s">
        <v>983</v>
      </c>
      <c r="E140" s="1863" t="s">
        <v>764</v>
      </c>
      <c r="F140" s="1863"/>
      <c r="G140" s="1863" t="s">
        <v>765</v>
      </c>
      <c r="H140" s="1863"/>
      <c r="I140" s="1863" t="s">
        <v>793</v>
      </c>
      <c r="J140" s="1863"/>
      <c r="K140" s="450" t="s">
        <v>796</v>
      </c>
      <c r="L140" s="448"/>
      <c r="M140" s="448"/>
      <c r="N140" s="448"/>
      <c r="O140" s="448"/>
      <c r="P140" s="448"/>
      <c r="Q140" s="448"/>
      <c r="R140" s="448"/>
      <c r="S140" s="448"/>
      <c r="T140" s="448"/>
      <c r="U140" s="448"/>
      <c r="V140" s="448"/>
      <c r="W140" s="448"/>
      <c r="X140" s="448"/>
    </row>
    <row r="141" spans="1:24" s="449" customFormat="1" ht="26.1" customHeight="1">
      <c r="A141" s="1869"/>
      <c r="B141" s="1867"/>
      <c r="C141" s="1865"/>
      <c r="D141" s="1867"/>
      <c r="E141" s="451" t="s">
        <v>794</v>
      </c>
      <c r="F141" s="451" t="s">
        <v>795</v>
      </c>
      <c r="G141" s="451" t="s">
        <v>794</v>
      </c>
      <c r="H141" s="451" t="s">
        <v>795</v>
      </c>
      <c r="I141" s="451" t="s">
        <v>794</v>
      </c>
      <c r="J141" s="451" t="s">
        <v>795</v>
      </c>
      <c r="K141" s="452" t="s">
        <v>795</v>
      </c>
      <c r="L141" s="448"/>
      <c r="M141" s="448"/>
      <c r="N141" s="448"/>
      <c r="O141" s="448"/>
      <c r="P141" s="448"/>
      <c r="Q141" s="448"/>
      <c r="R141" s="448"/>
      <c r="S141" s="448"/>
      <c r="T141" s="448"/>
      <c r="U141" s="448"/>
      <c r="V141" s="448"/>
      <c r="W141" s="448"/>
      <c r="X141" s="448"/>
    </row>
    <row r="142" spans="1:24" ht="26.85" customHeight="1">
      <c r="A142" s="1874" t="s">
        <v>792</v>
      </c>
      <c r="B142" s="1875"/>
      <c r="C142" s="1875"/>
      <c r="D142" s="1875"/>
      <c r="E142" s="1875"/>
      <c r="F142" s="1875"/>
      <c r="G142" s="453"/>
      <c r="H142" s="453"/>
      <c r="I142" s="453"/>
      <c r="J142" s="453"/>
      <c r="K142" s="454"/>
    </row>
    <row r="143" spans="1:24" ht="26.85" customHeight="1">
      <c r="A143" s="455" t="s">
        <v>779</v>
      </c>
      <c r="B143" s="456" t="s">
        <v>780</v>
      </c>
      <c r="C143" s="470">
        <v>550</v>
      </c>
      <c r="D143" s="456" t="s">
        <v>766</v>
      </c>
      <c r="E143" s="458">
        <f ca="1">'8.0자재단가'!I62</f>
        <v>840</v>
      </c>
      <c r="F143" s="458">
        <f t="shared" ref="F143:F153" si="19">INT(E143*C143)</f>
        <v>462000</v>
      </c>
      <c r="G143" s="453"/>
      <c r="H143" s="453">
        <f t="shared" ref="H143:H153" si="20">INT(G143*C143)</f>
        <v>0</v>
      </c>
      <c r="I143" s="453"/>
      <c r="J143" s="453">
        <f t="shared" ref="J143:J153" si="21">INT(I143*C143)</f>
        <v>0</v>
      </c>
      <c r="K143" s="459">
        <f t="shared" ref="K143:K157" si="22">+J143+H143+F143</f>
        <v>462000</v>
      </c>
    </row>
    <row r="144" spans="1:24" ht="26.85" customHeight="1">
      <c r="A144" s="455" t="s">
        <v>781</v>
      </c>
      <c r="B144" s="456" t="s">
        <v>782</v>
      </c>
      <c r="C144" s="470">
        <v>100</v>
      </c>
      <c r="D144" s="456" t="s">
        <v>1199</v>
      </c>
      <c r="E144" s="458">
        <f ca="1">'8.0자재단가'!I63</f>
        <v>40</v>
      </c>
      <c r="F144" s="458">
        <f t="shared" si="19"/>
        <v>4000</v>
      </c>
      <c r="G144" s="453"/>
      <c r="H144" s="453">
        <f t="shared" si="20"/>
        <v>0</v>
      </c>
      <c r="I144" s="453"/>
      <c r="J144" s="453">
        <f t="shared" si="21"/>
        <v>0</v>
      </c>
      <c r="K144" s="459">
        <f t="shared" si="22"/>
        <v>4000</v>
      </c>
    </row>
    <row r="145" spans="1:11" ht="26.85" customHeight="1">
      <c r="A145" s="455" t="s">
        <v>800</v>
      </c>
      <c r="B145" s="460" t="s">
        <v>783</v>
      </c>
      <c r="C145" s="470">
        <v>0.2</v>
      </c>
      <c r="D145" s="456" t="s">
        <v>767</v>
      </c>
      <c r="E145" s="458">
        <f ca="1">'8.0자재단가'!I64</f>
        <v>170000</v>
      </c>
      <c r="F145" s="458">
        <f t="shared" si="19"/>
        <v>34000</v>
      </c>
      <c r="G145" s="453"/>
      <c r="H145" s="453">
        <f t="shared" si="20"/>
        <v>0</v>
      </c>
      <c r="I145" s="453"/>
      <c r="J145" s="453">
        <f t="shared" si="21"/>
        <v>0</v>
      </c>
      <c r="K145" s="459">
        <f t="shared" si="22"/>
        <v>34000</v>
      </c>
    </row>
    <row r="146" spans="1:11" ht="26.85" customHeight="1">
      <c r="A146" s="455" t="s">
        <v>970</v>
      </c>
      <c r="B146" s="456"/>
      <c r="C146" s="471">
        <v>7.5999999999999998E-2</v>
      </c>
      <c r="D146" s="456" t="s">
        <v>820</v>
      </c>
      <c r="E146" s="453"/>
      <c r="F146" s="453">
        <f t="shared" si="19"/>
        <v>0</v>
      </c>
      <c r="G146" s="453">
        <f t="shared" ref="G146:G152" si="23">G126</f>
        <v>92218</v>
      </c>
      <c r="H146" s="458">
        <f t="shared" si="20"/>
        <v>7008</v>
      </c>
      <c r="I146" s="453"/>
      <c r="J146" s="453">
        <f t="shared" si="21"/>
        <v>0</v>
      </c>
      <c r="K146" s="459">
        <f t="shared" si="22"/>
        <v>7008</v>
      </c>
    </row>
    <row r="147" spans="1:11" ht="26.85" customHeight="1">
      <c r="A147" s="455" t="s">
        <v>967</v>
      </c>
      <c r="B147" s="456"/>
      <c r="C147" s="471">
        <v>0.151</v>
      </c>
      <c r="D147" s="456" t="s">
        <v>820</v>
      </c>
      <c r="E147" s="453"/>
      <c r="F147" s="453">
        <f t="shared" si="19"/>
        <v>0</v>
      </c>
      <c r="G147" s="453">
        <f t="shared" si="23"/>
        <v>84404</v>
      </c>
      <c r="H147" s="458">
        <f t="shared" si="20"/>
        <v>12745</v>
      </c>
      <c r="I147" s="453"/>
      <c r="J147" s="453">
        <f t="shared" si="21"/>
        <v>0</v>
      </c>
      <c r="K147" s="459">
        <f t="shared" si="22"/>
        <v>12745</v>
      </c>
    </row>
    <row r="148" spans="1:11" ht="26.85" customHeight="1">
      <c r="A148" s="455" t="s">
        <v>971</v>
      </c>
      <c r="B148" s="456"/>
      <c r="C148" s="471">
        <v>0.33500000000000002</v>
      </c>
      <c r="D148" s="456" t="s">
        <v>820</v>
      </c>
      <c r="E148" s="453"/>
      <c r="F148" s="453">
        <f t="shared" si="19"/>
        <v>0</v>
      </c>
      <c r="G148" s="453">
        <f t="shared" si="23"/>
        <v>68965</v>
      </c>
      <c r="H148" s="458">
        <f t="shared" si="20"/>
        <v>23103</v>
      </c>
      <c r="I148" s="453"/>
      <c r="J148" s="453">
        <f t="shared" si="21"/>
        <v>0</v>
      </c>
      <c r="K148" s="459">
        <f t="shared" si="22"/>
        <v>23103</v>
      </c>
    </row>
    <row r="149" spans="1:11" ht="26.85" customHeight="1">
      <c r="A149" s="455" t="s">
        <v>768</v>
      </c>
      <c r="B149" s="456" t="s">
        <v>784</v>
      </c>
      <c r="C149" s="471">
        <v>0.46100000000000002</v>
      </c>
      <c r="D149" s="456" t="s">
        <v>1179</v>
      </c>
      <c r="E149" s="458">
        <f>E129</f>
        <v>8332</v>
      </c>
      <c r="F149" s="458">
        <f t="shared" si="19"/>
        <v>3841</v>
      </c>
      <c r="G149" s="458">
        <f t="shared" si="23"/>
        <v>14915</v>
      </c>
      <c r="H149" s="458">
        <f t="shared" si="20"/>
        <v>6875</v>
      </c>
      <c r="I149" s="458">
        <f>I129</f>
        <v>63069</v>
      </c>
      <c r="J149" s="458">
        <f t="shared" si="21"/>
        <v>29074</v>
      </c>
      <c r="K149" s="459">
        <f t="shared" si="22"/>
        <v>39790</v>
      </c>
    </row>
    <row r="150" spans="1:11" ht="26.85" customHeight="1">
      <c r="A150" s="455" t="s">
        <v>769</v>
      </c>
      <c r="B150" s="456" t="s">
        <v>770</v>
      </c>
      <c r="C150" s="471">
        <v>0.46100000000000002</v>
      </c>
      <c r="D150" s="456" t="s">
        <v>1179</v>
      </c>
      <c r="E150" s="458">
        <f>E130</f>
        <v>6640</v>
      </c>
      <c r="F150" s="458">
        <f t="shared" si="19"/>
        <v>3061</v>
      </c>
      <c r="G150" s="458">
        <f t="shared" si="23"/>
        <v>17696</v>
      </c>
      <c r="H150" s="458">
        <f t="shared" si="20"/>
        <v>8157</v>
      </c>
      <c r="I150" s="458">
        <f>I130</f>
        <v>10362</v>
      </c>
      <c r="J150" s="458">
        <f t="shared" si="21"/>
        <v>4776</v>
      </c>
      <c r="K150" s="459">
        <f t="shared" si="22"/>
        <v>15994</v>
      </c>
    </row>
    <row r="151" spans="1:11" ht="26.85" customHeight="1">
      <c r="A151" s="455" t="s">
        <v>817</v>
      </c>
      <c r="B151" s="456" t="s">
        <v>771</v>
      </c>
      <c r="C151" s="471">
        <v>0.46100000000000002</v>
      </c>
      <c r="D151" s="456" t="s">
        <v>1179</v>
      </c>
      <c r="E151" s="458">
        <f>E131</f>
        <v>11978</v>
      </c>
      <c r="F151" s="458">
        <f t="shared" si="19"/>
        <v>5521</v>
      </c>
      <c r="G151" s="458">
        <f t="shared" si="23"/>
        <v>17696</v>
      </c>
      <c r="H151" s="458">
        <f t="shared" si="20"/>
        <v>8157</v>
      </c>
      <c r="I151" s="458">
        <f>I131</f>
        <v>6117</v>
      </c>
      <c r="J151" s="458">
        <f t="shared" si="21"/>
        <v>2819</v>
      </c>
      <c r="K151" s="459">
        <f t="shared" si="22"/>
        <v>16497</v>
      </c>
    </row>
    <row r="152" spans="1:11" ht="26.85" customHeight="1">
      <c r="A152" s="455" t="s">
        <v>772</v>
      </c>
      <c r="B152" s="456" t="s">
        <v>773</v>
      </c>
      <c r="C152" s="471">
        <v>0.72799999999999998</v>
      </c>
      <c r="D152" s="456" t="s">
        <v>1179</v>
      </c>
      <c r="E152" s="458">
        <f>E132</f>
        <v>13117</v>
      </c>
      <c r="F152" s="458">
        <f t="shared" si="19"/>
        <v>9549</v>
      </c>
      <c r="G152" s="458">
        <f t="shared" si="23"/>
        <v>17696</v>
      </c>
      <c r="H152" s="458">
        <f t="shared" si="20"/>
        <v>12882</v>
      </c>
      <c r="I152" s="458">
        <f>I132</f>
        <v>7823</v>
      </c>
      <c r="J152" s="458">
        <f t="shared" si="21"/>
        <v>5695</v>
      </c>
      <c r="K152" s="459">
        <f t="shared" si="22"/>
        <v>28126</v>
      </c>
    </row>
    <row r="153" spans="1:11" ht="26.85" customHeight="1">
      <c r="A153" s="455" t="s">
        <v>774</v>
      </c>
      <c r="B153" s="456" t="s">
        <v>775</v>
      </c>
      <c r="C153" s="471">
        <v>0.46100000000000002</v>
      </c>
      <c r="D153" s="456" t="s">
        <v>1179</v>
      </c>
      <c r="E153" s="453"/>
      <c r="F153" s="453">
        <f t="shared" si="19"/>
        <v>0</v>
      </c>
      <c r="G153" s="453"/>
      <c r="H153" s="453">
        <f t="shared" si="20"/>
        <v>0</v>
      </c>
      <c r="I153" s="458">
        <f>I133</f>
        <v>77</v>
      </c>
      <c r="J153" s="458">
        <f t="shared" si="21"/>
        <v>35</v>
      </c>
      <c r="K153" s="459">
        <f t="shared" si="22"/>
        <v>35</v>
      </c>
    </row>
    <row r="154" spans="1:11" ht="26.85" customHeight="1">
      <c r="A154" s="455" t="s">
        <v>1210</v>
      </c>
      <c r="B154" s="456" t="s">
        <v>776</v>
      </c>
      <c r="C154" s="476">
        <v>1</v>
      </c>
      <c r="D154" s="456" t="s">
        <v>1219</v>
      </c>
      <c r="E154" s="453"/>
      <c r="F154" s="458">
        <f>INT(SUM(F143:F153)*0.03)</f>
        <v>15659</v>
      </c>
      <c r="G154" s="453"/>
      <c r="H154" s="453"/>
      <c r="I154" s="458"/>
      <c r="J154" s="458"/>
      <c r="K154" s="459">
        <f t="shared" si="22"/>
        <v>15659</v>
      </c>
    </row>
    <row r="155" spans="1:11" ht="26.85" customHeight="1">
      <c r="A155" s="455" t="s">
        <v>1212</v>
      </c>
      <c r="B155" s="456" t="s">
        <v>777</v>
      </c>
      <c r="C155" s="476">
        <v>1</v>
      </c>
      <c r="D155" s="456" t="s">
        <v>1219</v>
      </c>
      <c r="E155" s="453"/>
      <c r="F155" s="453">
        <v>1210</v>
      </c>
      <c r="G155" s="453"/>
      <c r="H155" s="458"/>
      <c r="I155" s="458"/>
      <c r="J155" s="458"/>
      <c r="K155" s="459">
        <f t="shared" si="22"/>
        <v>1210</v>
      </c>
    </row>
    <row r="156" spans="1:11" ht="26.85" customHeight="1">
      <c r="A156" s="455" t="s">
        <v>789</v>
      </c>
      <c r="B156" s="460" t="s">
        <v>798</v>
      </c>
      <c r="C156" s="476">
        <v>1</v>
      </c>
      <c r="D156" s="456" t="s">
        <v>788</v>
      </c>
      <c r="E156" s="453"/>
      <c r="F156" s="453">
        <v>36754</v>
      </c>
      <c r="G156" s="453"/>
      <c r="H156" s="453">
        <v>52230</v>
      </c>
      <c r="I156" s="453"/>
      <c r="J156" s="453">
        <v>888</v>
      </c>
      <c r="K156" s="459">
        <f t="shared" si="22"/>
        <v>89872</v>
      </c>
    </row>
    <row r="157" spans="1:11" ht="26.85" customHeight="1">
      <c r="A157" s="455" t="s">
        <v>786</v>
      </c>
      <c r="B157" s="456"/>
      <c r="C157" s="476"/>
      <c r="D157" s="456"/>
      <c r="E157" s="453"/>
      <c r="F157" s="458">
        <f>SUM(F143:F156)</f>
        <v>575595</v>
      </c>
      <c r="G157" s="480"/>
      <c r="H157" s="458">
        <f>SUM(H143:H156)</f>
        <v>131157</v>
      </c>
      <c r="I157" s="480"/>
      <c r="J157" s="458">
        <f>SUM(J143:J156)</f>
        <v>43287</v>
      </c>
      <c r="K157" s="459">
        <f t="shared" si="22"/>
        <v>750039</v>
      </c>
    </row>
    <row r="158" spans="1:11" ht="26.85" customHeight="1">
      <c r="A158" s="1722">
        <f>INT(K157/10)</f>
        <v>75003</v>
      </c>
      <c r="B158" s="1723"/>
      <c r="C158" s="1723"/>
      <c r="D158" s="1723"/>
      <c r="E158" s="1723"/>
      <c r="F158" s="1723"/>
      <c r="G158" s="1723"/>
      <c r="H158" s="1723"/>
      <c r="I158" s="1723"/>
      <c r="J158" s="1723"/>
      <c r="K158" s="1724"/>
    </row>
    <row r="159" spans="1:11" ht="26.85" customHeight="1">
      <c r="A159" s="455"/>
      <c r="B159" s="456"/>
      <c r="C159" s="476"/>
      <c r="D159" s="456"/>
      <c r="E159" s="453"/>
      <c r="F159" s="458"/>
      <c r="G159" s="480"/>
      <c r="H159" s="458"/>
      <c r="I159" s="480"/>
      <c r="J159" s="458"/>
      <c r="K159" s="459"/>
    </row>
    <row r="160" spans="1:11" ht="26.85" customHeight="1">
      <c r="A160" s="455"/>
      <c r="B160" s="456"/>
      <c r="C160" s="476"/>
      <c r="D160" s="456"/>
      <c r="E160" s="453"/>
      <c r="F160" s="458"/>
      <c r="G160" s="480"/>
      <c r="H160" s="458"/>
      <c r="I160" s="480"/>
      <c r="J160" s="458"/>
      <c r="K160" s="459"/>
    </row>
    <row r="161" spans="1:11" ht="26.85" customHeight="1">
      <c r="A161" s="455"/>
      <c r="B161" s="456"/>
      <c r="C161" s="476"/>
      <c r="D161" s="456"/>
      <c r="E161" s="453"/>
      <c r="F161" s="458"/>
      <c r="G161" s="480"/>
      <c r="H161" s="458"/>
      <c r="I161" s="480"/>
      <c r="J161" s="458"/>
      <c r="K161" s="459"/>
    </row>
    <row r="162" spans="1:11" ht="26.85" customHeight="1">
      <c r="A162" s="455"/>
      <c r="B162" s="456"/>
      <c r="C162" s="476"/>
      <c r="D162" s="456"/>
      <c r="E162" s="453"/>
      <c r="F162" s="458"/>
      <c r="G162" s="480"/>
      <c r="H162" s="458"/>
      <c r="I162" s="480"/>
      <c r="J162" s="458"/>
      <c r="K162" s="459"/>
    </row>
    <row r="163" spans="1:11" ht="26.85" customHeight="1">
      <c r="A163" s="455"/>
      <c r="B163" s="456"/>
      <c r="C163" s="476"/>
      <c r="D163" s="456"/>
      <c r="E163" s="453"/>
      <c r="F163" s="458"/>
      <c r="G163" s="480"/>
      <c r="H163" s="458"/>
      <c r="I163" s="480"/>
      <c r="J163" s="458"/>
      <c r="K163" s="459"/>
    </row>
    <row r="164" spans="1:11" ht="26.85" customHeight="1">
      <c r="A164" s="455"/>
      <c r="B164" s="456"/>
      <c r="C164" s="476"/>
      <c r="D164" s="456"/>
      <c r="E164" s="453"/>
      <c r="F164" s="458"/>
      <c r="G164" s="480"/>
      <c r="H164" s="458"/>
      <c r="I164" s="480"/>
      <c r="J164" s="458"/>
      <c r="K164" s="459"/>
    </row>
    <row r="165" spans="1:11" ht="26.85" customHeight="1">
      <c r="A165" s="455"/>
      <c r="B165" s="456"/>
      <c r="C165" s="476"/>
      <c r="D165" s="456"/>
      <c r="E165" s="453"/>
      <c r="F165" s="458"/>
      <c r="G165" s="480"/>
      <c r="H165" s="458"/>
      <c r="I165" s="480"/>
      <c r="J165" s="458"/>
      <c r="K165" s="459"/>
    </row>
    <row r="166" spans="1:11" ht="26.85" customHeight="1">
      <c r="A166" s="455"/>
      <c r="B166" s="456"/>
      <c r="C166" s="476"/>
      <c r="D166" s="456"/>
      <c r="E166" s="453"/>
      <c r="F166" s="458"/>
      <c r="G166" s="480"/>
      <c r="H166" s="458"/>
      <c r="I166" s="480"/>
      <c r="J166" s="458"/>
      <c r="K166" s="459"/>
    </row>
    <row r="167" spans="1:11" ht="26.85" customHeight="1">
      <c r="A167" s="455"/>
      <c r="B167" s="456"/>
      <c r="C167" s="476"/>
      <c r="D167" s="456"/>
      <c r="E167" s="453"/>
      <c r="F167" s="458"/>
      <c r="G167" s="480"/>
      <c r="H167" s="458"/>
      <c r="I167" s="480"/>
      <c r="J167" s="458"/>
      <c r="K167" s="459"/>
    </row>
    <row r="168" spans="1:11" ht="26.85" customHeight="1">
      <c r="A168" s="455"/>
      <c r="B168" s="456"/>
      <c r="C168" s="476"/>
      <c r="D168" s="456"/>
      <c r="E168" s="453"/>
      <c r="F168" s="458"/>
      <c r="G168" s="480"/>
      <c r="H168" s="458"/>
      <c r="I168" s="480"/>
      <c r="J168" s="458"/>
      <c r="K168" s="459"/>
    </row>
    <row r="169" spans="1:11" ht="26.85" customHeight="1">
      <c r="A169" s="455"/>
      <c r="B169" s="456"/>
      <c r="C169" s="476"/>
      <c r="D169" s="456"/>
      <c r="E169" s="453"/>
      <c r="F169" s="458"/>
      <c r="G169" s="480"/>
      <c r="H169" s="458"/>
      <c r="I169" s="480"/>
      <c r="J169" s="458"/>
      <c r="K169" s="459"/>
    </row>
    <row r="170" spans="1:11" ht="26.85" customHeight="1">
      <c r="A170" s="455"/>
      <c r="B170" s="456"/>
      <c r="C170" s="476"/>
      <c r="D170" s="456"/>
      <c r="E170" s="453"/>
      <c r="F170" s="458"/>
      <c r="G170" s="480"/>
      <c r="H170" s="458"/>
      <c r="I170" s="480"/>
      <c r="J170" s="458"/>
      <c r="K170" s="459"/>
    </row>
    <row r="171" spans="1:11" ht="26.85" customHeight="1">
      <c r="A171" s="455"/>
      <c r="B171" s="456"/>
      <c r="C171" s="476"/>
      <c r="D171" s="456"/>
      <c r="E171" s="453"/>
      <c r="F171" s="458"/>
      <c r="G171" s="480"/>
      <c r="H171" s="458"/>
      <c r="I171" s="480"/>
      <c r="J171" s="458"/>
      <c r="K171" s="459"/>
    </row>
    <row r="172" spans="1:11" ht="26.85" customHeight="1">
      <c r="A172" s="455"/>
      <c r="B172" s="456"/>
      <c r="C172" s="476"/>
      <c r="D172" s="456"/>
      <c r="E172" s="453"/>
      <c r="F172" s="458"/>
      <c r="G172" s="480"/>
      <c r="H172" s="458"/>
      <c r="I172" s="480"/>
      <c r="J172" s="458"/>
      <c r="K172" s="459"/>
    </row>
    <row r="173" spans="1:11" ht="26.85" customHeight="1">
      <c r="A173" s="455"/>
      <c r="B173" s="456"/>
      <c r="C173" s="476"/>
      <c r="D173" s="456"/>
      <c r="E173" s="453"/>
      <c r="F173" s="458"/>
      <c r="G173" s="480"/>
      <c r="H173" s="458"/>
      <c r="I173" s="480"/>
      <c r="J173" s="458"/>
      <c r="K173" s="459"/>
    </row>
    <row r="174" spans="1:11" ht="26.85" customHeight="1">
      <c r="A174" s="455"/>
      <c r="B174" s="456"/>
      <c r="C174" s="476"/>
      <c r="D174" s="456"/>
      <c r="E174" s="453"/>
      <c r="F174" s="458"/>
      <c r="G174" s="480"/>
      <c r="H174" s="458"/>
      <c r="I174" s="480"/>
      <c r="J174" s="458"/>
      <c r="K174" s="459"/>
    </row>
    <row r="175" spans="1:11" ht="26.85" customHeight="1">
      <c r="A175" s="455"/>
      <c r="B175" s="456"/>
      <c r="C175" s="476"/>
      <c r="D175" s="456"/>
      <c r="E175" s="453"/>
      <c r="F175" s="458"/>
      <c r="G175" s="480"/>
      <c r="H175" s="458"/>
      <c r="I175" s="480"/>
      <c r="J175" s="458"/>
      <c r="K175" s="459"/>
    </row>
    <row r="176" spans="1:11" ht="26.85" customHeight="1">
      <c r="A176" s="463"/>
      <c r="B176" s="464"/>
      <c r="C176" s="477"/>
      <c r="D176" s="464"/>
      <c r="E176" s="466"/>
      <c r="F176" s="466"/>
      <c r="G176" s="466"/>
      <c r="H176" s="466"/>
      <c r="I176" s="479"/>
      <c r="J176" s="479"/>
      <c r="K176" s="467"/>
    </row>
  </sheetData>
  <mergeCells count="37">
    <mergeCell ref="D23:E23"/>
    <mergeCell ref="D24:E24"/>
    <mergeCell ref="D25:E25"/>
    <mergeCell ref="A138:K138"/>
    <mergeCell ref="D26:E26"/>
    <mergeCell ref="D27:E27"/>
    <mergeCell ref="D28:E28"/>
    <mergeCell ref="A100:K100"/>
    <mergeCell ref="G65:H65"/>
    <mergeCell ref="A65:A66"/>
    <mergeCell ref="B140:B141"/>
    <mergeCell ref="I65:J65"/>
    <mergeCell ref="A82:K82"/>
    <mergeCell ref="B65:B66"/>
    <mergeCell ref="C65:C66"/>
    <mergeCell ref="D65:D66"/>
    <mergeCell ref="A67:F67"/>
    <mergeCell ref="A102:A103"/>
    <mergeCell ref="B102:B103"/>
    <mergeCell ref="A84:F84"/>
    <mergeCell ref="E65:F65"/>
    <mergeCell ref="A142:F142"/>
    <mergeCell ref="A104:F104"/>
    <mergeCell ref="A122:F122"/>
    <mergeCell ref="C140:C141"/>
    <mergeCell ref="D140:D141"/>
    <mergeCell ref="A140:A141"/>
    <mergeCell ref="I140:J140"/>
    <mergeCell ref="A120:K120"/>
    <mergeCell ref="A158:K158"/>
    <mergeCell ref="E102:F102"/>
    <mergeCell ref="G102:H102"/>
    <mergeCell ref="I102:J102"/>
    <mergeCell ref="C102:C103"/>
    <mergeCell ref="D102:D103"/>
    <mergeCell ref="E140:F140"/>
    <mergeCell ref="G140:H140"/>
  </mergeCells>
  <phoneticPr fontId="53" type="noConversion"/>
  <printOptions horizontalCentered="1"/>
  <pageMargins left="0.82677165354330717" right="0.55118110236220474" top="0.98425196850393704" bottom="0.86614173228346458" header="0.51181102362204722" footer="0.51181102362204722"/>
  <pageSetup paperSize="9" scale="70" orientation="portrait" horizontalDpi="4294967295" verticalDpi="3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>
  <dimension ref="A19:K173"/>
  <sheetViews>
    <sheetView topLeftCell="A7" zoomScaleSheetLayoutView="100" workbookViewId="0">
      <selection activeCell="P6" sqref="P6"/>
    </sheetView>
  </sheetViews>
  <sheetFormatPr defaultRowHeight="13.5"/>
  <cols>
    <col min="1" max="2" width="9.77734375" customWidth="1"/>
    <col min="3" max="3" width="5.77734375" customWidth="1"/>
    <col min="4" max="4" width="4.33203125" style="338" customWidth="1"/>
    <col min="5" max="10" width="6.33203125" customWidth="1"/>
    <col min="11" max="11" width="7.33203125" customWidth="1"/>
  </cols>
  <sheetData>
    <row r="19" spans="3:8" s="339" customFormat="1" ht="30" customHeight="1">
      <c r="C19" s="1554"/>
      <c r="D19" s="1554"/>
      <c r="E19" s="1554"/>
      <c r="F19" s="1554"/>
      <c r="G19" s="1554"/>
      <c r="H19" s="1554"/>
    </row>
    <row r="20" spans="3:8" s="339" customFormat="1" ht="30" customHeight="1">
      <c r="D20" s="387"/>
    </row>
    <row r="21" spans="3:8" s="339" customFormat="1" ht="30" customHeight="1">
      <c r="C21" s="388" t="s">
        <v>280</v>
      </c>
      <c r="D21" s="1549" t="s">
        <v>281</v>
      </c>
      <c r="E21" s="1549"/>
      <c r="F21" s="1549" t="s">
        <v>760</v>
      </c>
      <c r="G21" s="1549"/>
      <c r="H21" s="389" t="s">
        <v>282</v>
      </c>
    </row>
    <row r="22" spans="3:8" s="339" customFormat="1" ht="30" customHeight="1">
      <c r="C22" s="390">
        <v>1</v>
      </c>
      <c r="D22" s="391">
        <v>5</v>
      </c>
      <c r="E22" s="392" t="s">
        <v>283</v>
      </c>
      <c r="F22" s="1817">
        <f>K85</f>
        <v>29974</v>
      </c>
      <c r="G22" s="1818"/>
      <c r="H22" s="393"/>
    </row>
    <row r="23" spans="3:8" s="339" customFormat="1" ht="30" customHeight="1">
      <c r="C23" s="390">
        <v>2</v>
      </c>
      <c r="D23" s="391">
        <v>10</v>
      </c>
      <c r="E23" s="392" t="s">
        <v>283</v>
      </c>
      <c r="F23" s="1877">
        <f>K128</f>
        <v>46471</v>
      </c>
      <c r="G23" s="1548"/>
      <c r="H23" s="393"/>
    </row>
    <row r="24" spans="3:8" s="339" customFormat="1" ht="30" customHeight="1">
      <c r="C24" s="394">
        <v>3</v>
      </c>
      <c r="D24" s="395">
        <v>15</v>
      </c>
      <c r="E24" s="396" t="s">
        <v>283</v>
      </c>
      <c r="F24" s="1819">
        <f>K171</f>
        <v>59726</v>
      </c>
      <c r="G24" s="1545"/>
      <c r="H24" s="397"/>
    </row>
    <row r="44" spans="1:11" ht="26.1" customHeight="1">
      <c r="A44" s="1804" t="s">
        <v>670</v>
      </c>
      <c r="B44" s="1804"/>
      <c r="C44" s="1804"/>
      <c r="D44" s="1804"/>
      <c r="E44" s="1804"/>
      <c r="F44" s="1804"/>
      <c r="G44" s="1804"/>
      <c r="H44" s="1804"/>
      <c r="I44" s="1804"/>
      <c r="J44" s="1804"/>
      <c r="K44" s="1804"/>
    </row>
    <row r="45" spans="1:11" ht="12.95" customHeight="1">
      <c r="A45" s="340"/>
      <c r="B45" s="340"/>
      <c r="C45" s="340"/>
      <c r="D45" s="341"/>
      <c r="E45" s="340"/>
      <c r="F45" s="340"/>
      <c r="G45" s="340"/>
      <c r="H45" s="340"/>
      <c r="I45" s="340"/>
      <c r="J45" s="340"/>
      <c r="K45" s="342"/>
    </row>
    <row r="46" spans="1:11" s="347" customFormat="1" ht="15.95" customHeight="1">
      <c r="A46" s="343" t="s">
        <v>284</v>
      </c>
      <c r="B46" s="344"/>
      <c r="C46" s="344"/>
      <c r="D46" s="345"/>
      <c r="E46" s="344"/>
      <c r="F46" s="344"/>
      <c r="G46" s="344"/>
      <c r="H46" s="344"/>
      <c r="I46" s="344"/>
      <c r="J46" s="344"/>
      <c r="K46" s="346"/>
    </row>
    <row r="47" spans="1:11" s="347" customFormat="1" ht="15.95" customHeight="1">
      <c r="A47" s="1803" t="s">
        <v>285</v>
      </c>
      <c r="B47" s="1797" t="s">
        <v>286</v>
      </c>
      <c r="C47" s="1797" t="s">
        <v>287</v>
      </c>
      <c r="D47" s="1797" t="s">
        <v>288</v>
      </c>
      <c r="E47" s="1797" t="s">
        <v>289</v>
      </c>
      <c r="F47" s="1797"/>
      <c r="G47" s="1797" t="s">
        <v>290</v>
      </c>
      <c r="H47" s="1797"/>
      <c r="I47" s="1797" t="s">
        <v>291</v>
      </c>
      <c r="J47" s="1797"/>
      <c r="K47" s="1800" t="s">
        <v>292</v>
      </c>
    </row>
    <row r="48" spans="1:11" s="347" customFormat="1" ht="15.95" customHeight="1">
      <c r="A48" s="1803"/>
      <c r="B48" s="1797"/>
      <c r="C48" s="1797"/>
      <c r="D48" s="1797"/>
      <c r="E48" s="349" t="s">
        <v>293</v>
      </c>
      <c r="F48" s="349" t="s">
        <v>294</v>
      </c>
      <c r="G48" s="349" t="s">
        <v>293</v>
      </c>
      <c r="H48" s="349" t="s">
        <v>294</v>
      </c>
      <c r="I48" s="349" t="s">
        <v>293</v>
      </c>
      <c r="J48" s="349" t="s">
        <v>294</v>
      </c>
      <c r="K48" s="1800"/>
    </row>
    <row r="49" spans="1:11" s="347" customFormat="1" ht="15.95" customHeight="1">
      <c r="A49" s="348" t="s">
        <v>295</v>
      </c>
      <c r="B49" s="349" t="s">
        <v>296</v>
      </c>
      <c r="C49" s="350">
        <v>1.7000000000000001E-2</v>
      </c>
      <c r="D49" s="349" t="s">
        <v>297</v>
      </c>
      <c r="E49" s="351">
        <f ca="1">'9.0중기목록'!F34</f>
        <v>11704</v>
      </c>
      <c r="F49" s="351">
        <v>140</v>
      </c>
      <c r="G49" s="351">
        <f ca="1">'9.0중기목록'!E34</f>
        <v>14915</v>
      </c>
      <c r="H49" s="351">
        <f ca="1">INT(C49*G49)</f>
        <v>253</v>
      </c>
      <c r="I49" s="351">
        <f ca="1">'9.0중기목록'!G34</f>
        <v>3752</v>
      </c>
      <c r="J49" s="351">
        <f>INT(C49*I49)</f>
        <v>63</v>
      </c>
      <c r="K49" s="352"/>
    </row>
    <row r="50" spans="1:11" s="347" customFormat="1" ht="15.95" customHeight="1">
      <c r="A50" s="348" t="s">
        <v>298</v>
      </c>
      <c r="B50" s="353"/>
      <c r="C50" s="350">
        <v>1.0999999999999999E-2</v>
      </c>
      <c r="D50" s="349" t="s">
        <v>299</v>
      </c>
      <c r="E50" s="351"/>
      <c r="F50" s="351"/>
      <c r="G50" s="351">
        <f ca="1">'11.0시중노임'!F3</f>
        <v>79533</v>
      </c>
      <c r="H50" s="351">
        <f>INT(C50*G50)</f>
        <v>874</v>
      </c>
      <c r="I50" s="351"/>
      <c r="J50" s="351"/>
      <c r="K50" s="352"/>
    </row>
    <row r="51" spans="1:11" s="347" customFormat="1" ht="15.95" customHeight="1">
      <c r="A51" s="348" t="s">
        <v>300</v>
      </c>
      <c r="B51" s="349"/>
      <c r="C51" s="350">
        <v>1.0999999999999999E-2</v>
      </c>
      <c r="D51" s="349" t="s">
        <v>299</v>
      </c>
      <c r="E51" s="351"/>
      <c r="F51" s="351"/>
      <c r="G51" s="351">
        <f ca="1">'11.0시중노임'!F6</f>
        <v>68965</v>
      </c>
      <c r="H51" s="351">
        <f>INT(C51*G51)</f>
        <v>758</v>
      </c>
      <c r="I51" s="351"/>
      <c r="J51" s="351"/>
      <c r="K51" s="352"/>
    </row>
    <row r="52" spans="1:11" s="347" customFormat="1" ht="18.95" customHeight="1">
      <c r="A52" s="354" t="s">
        <v>301</v>
      </c>
      <c r="B52" s="349" t="s">
        <v>302</v>
      </c>
      <c r="C52" s="350" t="s">
        <v>303</v>
      </c>
      <c r="D52" s="349"/>
      <c r="E52" s="351"/>
      <c r="F52" s="351">
        <f>INT(H53*2.5%)</f>
        <v>47</v>
      </c>
      <c r="G52" s="351"/>
      <c r="H52" s="351"/>
      <c r="I52" s="351"/>
      <c r="J52" s="351"/>
      <c r="K52" s="352"/>
    </row>
    <row r="53" spans="1:11" s="347" customFormat="1" ht="15.95" customHeight="1">
      <c r="A53" s="348" t="s">
        <v>304</v>
      </c>
      <c r="B53" s="349"/>
      <c r="C53" s="350"/>
      <c r="D53" s="349"/>
      <c r="E53" s="351"/>
      <c r="F53" s="351">
        <f>SUM(F49:F52)</f>
        <v>187</v>
      </c>
      <c r="G53" s="351"/>
      <c r="H53" s="351">
        <f>SUM(H49:H52)</f>
        <v>1885</v>
      </c>
      <c r="I53" s="351"/>
      <c r="J53" s="351">
        <f>SUM(J49:J52)</f>
        <v>63</v>
      </c>
      <c r="K53" s="352">
        <f>INT(SUM(F53:J53))</f>
        <v>2135</v>
      </c>
    </row>
    <row r="54" spans="1:11" s="347" customFormat="1" ht="15.95" customHeight="1">
      <c r="A54" s="355" t="s">
        <v>305</v>
      </c>
      <c r="B54" s="356"/>
      <c r="C54" s="356"/>
      <c r="D54" s="357"/>
      <c r="E54" s="358"/>
      <c r="F54" s="358"/>
      <c r="G54" s="358"/>
      <c r="H54" s="358"/>
      <c r="I54" s="358"/>
      <c r="J54" s="358"/>
      <c r="K54" s="359"/>
    </row>
    <row r="55" spans="1:11" s="347" customFormat="1" ht="15.95" customHeight="1">
      <c r="A55" s="348" t="s">
        <v>306</v>
      </c>
      <c r="B55" s="349" t="s">
        <v>307</v>
      </c>
      <c r="C55" s="350">
        <v>0.11</v>
      </c>
      <c r="D55" s="349" t="s">
        <v>308</v>
      </c>
      <c r="E55" s="351">
        <f ca="1">'8.0자재단가'!I44</f>
        <v>830</v>
      </c>
      <c r="F55" s="351">
        <f>INT(C55*E55)</f>
        <v>91</v>
      </c>
      <c r="G55" s="351"/>
      <c r="H55" s="351"/>
      <c r="I55" s="351"/>
      <c r="J55" s="351"/>
      <c r="K55" s="352"/>
    </row>
    <row r="56" spans="1:11" s="347" customFormat="1" ht="15.95" customHeight="1">
      <c r="A56" s="348" t="s">
        <v>309</v>
      </c>
      <c r="B56" s="349" t="s">
        <v>310</v>
      </c>
      <c r="C56" s="350">
        <v>0.5</v>
      </c>
      <c r="D56" s="349" t="s">
        <v>308</v>
      </c>
      <c r="E56" s="351">
        <f ca="1">'8.0자재단가'!I45</f>
        <v>660</v>
      </c>
      <c r="F56" s="351">
        <f>INT(C56*E56)</f>
        <v>330</v>
      </c>
      <c r="G56" s="351"/>
      <c r="H56" s="351"/>
      <c r="I56" s="351"/>
      <c r="J56" s="351"/>
      <c r="K56" s="352"/>
    </row>
    <row r="57" spans="1:11" s="347" customFormat="1" ht="15.95" customHeight="1">
      <c r="A57" s="348" t="s">
        <v>311</v>
      </c>
      <c r="B57" s="349"/>
      <c r="C57" s="350">
        <v>5.0000000000000001E-3</v>
      </c>
      <c r="D57" s="349" t="s">
        <v>299</v>
      </c>
      <c r="E57" s="351"/>
      <c r="F57" s="351"/>
      <c r="G57" s="351">
        <f ca="1">'11.0시중노임'!F5</f>
        <v>84404</v>
      </c>
      <c r="H57" s="351">
        <f>INT(C57*G57)</f>
        <v>422</v>
      </c>
      <c r="I57" s="351"/>
      <c r="J57" s="351"/>
      <c r="K57" s="352"/>
    </row>
    <row r="58" spans="1:11" s="347" customFormat="1" ht="15.95" customHeight="1">
      <c r="A58" s="348" t="s">
        <v>300</v>
      </c>
      <c r="B58" s="349"/>
      <c r="C58" s="350">
        <v>5.0000000000000001E-3</v>
      </c>
      <c r="D58" s="349" t="s">
        <v>299</v>
      </c>
      <c r="E58" s="351"/>
      <c r="F58" s="351"/>
      <c r="G58" s="351">
        <f ca="1">'11.0시중노임'!F6</f>
        <v>68965</v>
      </c>
      <c r="H58" s="351">
        <f>INT(C58*G58)</f>
        <v>344</v>
      </c>
      <c r="I58" s="351"/>
      <c r="J58" s="351"/>
      <c r="K58" s="352"/>
    </row>
    <row r="59" spans="1:11" s="347" customFormat="1" ht="15.95" customHeight="1">
      <c r="A59" s="348" t="s">
        <v>304</v>
      </c>
      <c r="B59" s="349"/>
      <c r="C59" s="350"/>
      <c r="D59" s="349"/>
      <c r="E59" s="351"/>
      <c r="F59" s="351">
        <f>INT(SUM(F55:F58))</f>
        <v>421</v>
      </c>
      <c r="G59" s="351"/>
      <c r="H59" s="351">
        <f>INT(SUM(H55:H58))</f>
        <v>766</v>
      </c>
      <c r="I59" s="351"/>
      <c r="J59" s="351"/>
      <c r="K59" s="352">
        <f>INT(SUM(F59:J59))</f>
        <v>1187</v>
      </c>
    </row>
    <row r="60" spans="1:11" s="347" customFormat="1" ht="15.95" customHeight="1">
      <c r="A60" s="355" t="s">
        <v>312</v>
      </c>
      <c r="B60" s="357"/>
      <c r="C60" s="356"/>
      <c r="D60" s="357"/>
      <c r="E60" s="358"/>
      <c r="F60" s="358"/>
      <c r="G60" s="358"/>
      <c r="H60" s="358"/>
      <c r="I60" s="358"/>
      <c r="J60" s="358"/>
      <c r="K60" s="359"/>
    </row>
    <row r="61" spans="1:11" s="347" customFormat="1" ht="15.95" customHeight="1">
      <c r="A61" s="348" t="s">
        <v>313</v>
      </c>
      <c r="B61" s="349" t="s">
        <v>314</v>
      </c>
      <c r="C61" s="350">
        <v>1.3</v>
      </c>
      <c r="D61" s="349" t="s">
        <v>315</v>
      </c>
      <c r="E61" s="351">
        <f ca="1">'8.0자재단가'!I19</f>
        <v>2210</v>
      </c>
      <c r="F61" s="351">
        <f>INT(C61*E61)</f>
        <v>2873</v>
      </c>
      <c r="G61" s="351"/>
      <c r="H61" s="351"/>
      <c r="I61" s="351"/>
      <c r="J61" s="351"/>
      <c r="K61" s="352"/>
    </row>
    <row r="62" spans="1:11" s="347" customFormat="1" ht="15.95" customHeight="1">
      <c r="A62" s="348" t="s">
        <v>316</v>
      </c>
      <c r="B62" s="349" t="s">
        <v>317</v>
      </c>
      <c r="C62" s="350">
        <v>0.8</v>
      </c>
      <c r="D62" s="349" t="s">
        <v>318</v>
      </c>
      <c r="E62" s="351">
        <f ca="1">'8.0자재단가'!I20</f>
        <v>150</v>
      </c>
      <c r="F62" s="351">
        <f>INT(C62*E62)</f>
        <v>120</v>
      </c>
      <c r="G62" s="351"/>
      <c r="H62" s="351"/>
      <c r="I62" s="351"/>
      <c r="J62" s="351"/>
      <c r="K62" s="352"/>
    </row>
    <row r="63" spans="1:11" s="347" customFormat="1" ht="15.95" customHeight="1">
      <c r="A63" s="348" t="s">
        <v>319</v>
      </c>
      <c r="B63" s="349"/>
      <c r="C63" s="350">
        <v>5.0000000000000001E-3</v>
      </c>
      <c r="D63" s="349" t="s">
        <v>299</v>
      </c>
      <c r="E63" s="351"/>
      <c r="F63" s="351"/>
      <c r="G63" s="351">
        <f ca="1">'11.0시중노임'!F4</f>
        <v>92218</v>
      </c>
      <c r="H63" s="351">
        <f>INT(C63*G63)</f>
        <v>461</v>
      </c>
      <c r="I63" s="351"/>
      <c r="J63" s="351"/>
      <c r="K63" s="352"/>
    </row>
    <row r="64" spans="1:11" s="347" customFormat="1" ht="15.95" customHeight="1">
      <c r="A64" s="348" t="s">
        <v>311</v>
      </c>
      <c r="B64" s="349"/>
      <c r="C64" s="350">
        <v>0.02</v>
      </c>
      <c r="D64" s="349" t="s">
        <v>299</v>
      </c>
      <c r="E64" s="351"/>
      <c r="F64" s="351"/>
      <c r="G64" s="351">
        <f ca="1">'11.0시중노임'!F5</f>
        <v>84404</v>
      </c>
      <c r="H64" s="351">
        <f>INT(C64*G64)</f>
        <v>1688</v>
      </c>
      <c r="I64" s="351"/>
      <c r="J64" s="351"/>
      <c r="K64" s="352"/>
    </row>
    <row r="65" spans="1:11" s="347" customFormat="1" ht="15.95" customHeight="1">
      <c r="A65" s="348" t="s">
        <v>300</v>
      </c>
      <c r="B65" s="349"/>
      <c r="C65" s="360">
        <v>0.02</v>
      </c>
      <c r="D65" s="349" t="s">
        <v>299</v>
      </c>
      <c r="E65" s="351"/>
      <c r="F65" s="351"/>
      <c r="G65" s="351">
        <f ca="1">'11.0시중노임'!F6</f>
        <v>68965</v>
      </c>
      <c r="H65" s="351">
        <f>INT(C65*G65)</f>
        <v>1379</v>
      </c>
      <c r="I65" s="351"/>
      <c r="J65" s="351"/>
      <c r="K65" s="352"/>
    </row>
    <row r="66" spans="1:11" s="347" customFormat="1" ht="15.95" customHeight="1">
      <c r="A66" s="348" t="s">
        <v>304</v>
      </c>
      <c r="B66" s="349"/>
      <c r="C66" s="361"/>
      <c r="D66" s="349"/>
      <c r="E66" s="351"/>
      <c r="F66" s="351">
        <f>INT(SUM(F61:F65))</f>
        <v>2993</v>
      </c>
      <c r="G66" s="351"/>
      <c r="H66" s="351">
        <f>INT(SUM(H61:H65))</f>
        <v>3528</v>
      </c>
      <c r="I66" s="351"/>
      <c r="J66" s="351"/>
      <c r="K66" s="352">
        <f>INT(SUM(F66:J66))</f>
        <v>6521</v>
      </c>
    </row>
    <row r="67" spans="1:11" s="347" customFormat="1" ht="15.95" customHeight="1">
      <c r="A67" s="355" t="s">
        <v>320</v>
      </c>
      <c r="B67" s="357"/>
      <c r="C67" s="356"/>
      <c r="D67" s="357"/>
      <c r="E67" s="358"/>
      <c r="F67" s="358"/>
      <c r="G67" s="358"/>
      <c r="H67" s="358"/>
      <c r="I67" s="358"/>
      <c r="J67" s="358"/>
      <c r="K67" s="359"/>
    </row>
    <row r="68" spans="1:11" s="347" customFormat="1" ht="15.95" customHeight="1">
      <c r="A68" s="348" t="s">
        <v>321</v>
      </c>
      <c r="B68" s="349"/>
      <c r="C68" s="350">
        <v>5.5E-2</v>
      </c>
      <c r="D68" s="349" t="s">
        <v>322</v>
      </c>
      <c r="E68" s="351">
        <f ca="1">'8.0자재단가'!I42</f>
        <v>55000</v>
      </c>
      <c r="F68" s="351">
        <f>INT(C68*E68)</f>
        <v>3025</v>
      </c>
      <c r="G68" s="351"/>
      <c r="H68" s="351"/>
      <c r="I68" s="351"/>
      <c r="J68" s="351"/>
      <c r="K68" s="352"/>
    </row>
    <row r="69" spans="1:11" s="347" customFormat="1" ht="15.95" customHeight="1">
      <c r="A69" s="348" t="s">
        <v>323</v>
      </c>
      <c r="B69" s="349" t="s">
        <v>324</v>
      </c>
      <c r="C69" s="350">
        <v>60</v>
      </c>
      <c r="D69" s="349" t="s">
        <v>325</v>
      </c>
      <c r="E69" s="351">
        <f ca="1">'8.0자재단가'!I43</f>
        <v>10</v>
      </c>
      <c r="F69" s="351">
        <f>INT(C69*E69)</f>
        <v>600</v>
      </c>
      <c r="G69" s="351"/>
      <c r="H69" s="351"/>
      <c r="I69" s="351"/>
      <c r="J69" s="351"/>
      <c r="K69" s="352"/>
    </row>
    <row r="70" spans="1:11" s="347" customFormat="1" ht="15.95" customHeight="1">
      <c r="A70" s="348" t="s">
        <v>326</v>
      </c>
      <c r="B70" s="349" t="s">
        <v>327</v>
      </c>
      <c r="C70" s="350">
        <v>4.4999999999999998E-2</v>
      </c>
      <c r="D70" s="349" t="s">
        <v>297</v>
      </c>
      <c r="E70" s="351"/>
      <c r="F70" s="351"/>
      <c r="G70" s="351"/>
      <c r="H70" s="351"/>
      <c r="I70" s="351">
        <f ca="1">'9.0중기목록'!G6</f>
        <v>24973</v>
      </c>
      <c r="J70" s="351">
        <f t="shared" ref="J70:J75" si="0">INT(C70*I70)</f>
        <v>1123</v>
      </c>
      <c r="K70" s="352"/>
    </row>
    <row r="71" spans="1:11" s="347" customFormat="1" ht="15.95" customHeight="1">
      <c r="A71" s="348" t="s">
        <v>328</v>
      </c>
      <c r="B71" s="349" t="s">
        <v>646</v>
      </c>
      <c r="C71" s="350">
        <v>4.4999999999999998E-2</v>
      </c>
      <c r="D71" s="349" t="s">
        <v>297</v>
      </c>
      <c r="E71" s="351">
        <f ca="1">'9.0중기목록'!F36</f>
        <v>35154</v>
      </c>
      <c r="F71" s="351">
        <f ca="1">INT(C71*E71)</f>
        <v>1581</v>
      </c>
      <c r="G71" s="351">
        <f ca="1">'9.0중기목록'!E36</f>
        <v>20561</v>
      </c>
      <c r="H71" s="351">
        <f t="shared" ref="H71:H79" si="1">INT(C71*G71)</f>
        <v>925</v>
      </c>
      <c r="I71" s="351">
        <f ca="1">'9.0중기목록'!G36</f>
        <v>7905</v>
      </c>
      <c r="J71" s="351">
        <f t="shared" si="0"/>
        <v>355</v>
      </c>
      <c r="K71" s="352"/>
    </row>
    <row r="72" spans="1:11" s="347" customFormat="1" ht="15.95" customHeight="1">
      <c r="A72" s="348" t="s">
        <v>295</v>
      </c>
      <c r="B72" s="349" t="s">
        <v>296</v>
      </c>
      <c r="C72" s="350">
        <v>4.4999999999999998E-2</v>
      </c>
      <c r="D72" s="349" t="s">
        <v>297</v>
      </c>
      <c r="E72" s="351">
        <f ca="1">'9.0중기목록'!F34</f>
        <v>11704</v>
      </c>
      <c r="F72" s="351">
        <f ca="1">INT(C72*E72)</f>
        <v>526</v>
      </c>
      <c r="G72" s="351">
        <f ca="1">'9.0중기목록'!E34</f>
        <v>14915</v>
      </c>
      <c r="H72" s="351">
        <f t="shared" si="1"/>
        <v>671</v>
      </c>
      <c r="I72" s="351">
        <f ca="1">'9.0중기목록'!G34</f>
        <v>3752</v>
      </c>
      <c r="J72" s="351">
        <f t="shared" si="0"/>
        <v>168</v>
      </c>
      <c r="K72" s="352"/>
    </row>
    <row r="73" spans="1:11" s="347" customFormat="1" ht="15.95" customHeight="1">
      <c r="A73" s="348" t="s">
        <v>647</v>
      </c>
      <c r="B73" s="349" t="s">
        <v>648</v>
      </c>
      <c r="C73" s="350">
        <v>5.1999999999999998E-2</v>
      </c>
      <c r="D73" s="349" t="s">
        <v>297</v>
      </c>
      <c r="E73" s="351">
        <f ca="1">'9.0중기목록'!F12</f>
        <v>6640</v>
      </c>
      <c r="F73" s="351">
        <f ca="1">INT(C73*E73)</f>
        <v>345</v>
      </c>
      <c r="G73" s="351">
        <f ca="1">'9.0중기목록'!E12</f>
        <v>17696</v>
      </c>
      <c r="H73" s="351">
        <f t="shared" si="1"/>
        <v>920</v>
      </c>
      <c r="I73" s="351">
        <f ca="1">'9.0중기목록'!G12</f>
        <v>10362</v>
      </c>
      <c r="J73" s="351">
        <f t="shared" si="0"/>
        <v>538</v>
      </c>
      <c r="K73" s="352"/>
    </row>
    <row r="74" spans="1:11" s="347" customFormat="1" ht="15.95" customHeight="1">
      <c r="A74" s="348" t="s">
        <v>649</v>
      </c>
      <c r="B74" s="349" t="s">
        <v>650</v>
      </c>
      <c r="C74" s="350">
        <v>4.4999999999999998E-2</v>
      </c>
      <c r="D74" s="349" t="s">
        <v>297</v>
      </c>
      <c r="E74" s="351">
        <f ca="1">'9.0중기목록'!F14</f>
        <v>13117</v>
      </c>
      <c r="F74" s="351">
        <f ca="1">INT(C74*E74)</f>
        <v>590</v>
      </c>
      <c r="G74" s="351">
        <f ca="1">'9.0중기목록'!E14</f>
        <v>17696</v>
      </c>
      <c r="H74" s="351">
        <f t="shared" si="1"/>
        <v>796</v>
      </c>
      <c r="I74" s="351">
        <f ca="1">'9.0중기목록'!G14</f>
        <v>7823</v>
      </c>
      <c r="J74" s="351">
        <f t="shared" si="0"/>
        <v>352</v>
      </c>
      <c r="K74" s="352"/>
    </row>
    <row r="75" spans="1:11" s="347" customFormat="1" ht="15.95" customHeight="1">
      <c r="A75" s="348" t="s">
        <v>651</v>
      </c>
      <c r="B75" s="349" t="s">
        <v>652</v>
      </c>
      <c r="C75" s="350">
        <v>4.4999999999999998E-2</v>
      </c>
      <c r="D75" s="349" t="s">
        <v>297</v>
      </c>
      <c r="E75" s="351">
        <f ca="1">'9.0중기목록'!F16</f>
        <v>11978</v>
      </c>
      <c r="F75" s="351">
        <f ca="1">INT(C75*E75)</f>
        <v>539</v>
      </c>
      <c r="G75" s="351">
        <f ca="1">'9.0중기목록'!E16</f>
        <v>17696</v>
      </c>
      <c r="H75" s="351">
        <f t="shared" si="1"/>
        <v>796</v>
      </c>
      <c r="I75" s="351">
        <f ca="1">'9.0중기목록'!G16</f>
        <v>6117</v>
      </c>
      <c r="J75" s="351">
        <f t="shared" si="0"/>
        <v>275</v>
      </c>
      <c r="K75" s="352"/>
    </row>
    <row r="76" spans="1:11" s="347" customFormat="1" ht="15.95" customHeight="1">
      <c r="A76" s="348" t="s">
        <v>319</v>
      </c>
      <c r="B76" s="349"/>
      <c r="C76" s="350">
        <v>5.0000000000000001E-3</v>
      </c>
      <c r="D76" s="349" t="s">
        <v>299</v>
      </c>
      <c r="E76" s="350"/>
      <c r="F76" s="351"/>
      <c r="G76" s="351">
        <f ca="1">'11.0시중노임'!F4</f>
        <v>92218</v>
      </c>
      <c r="H76" s="351">
        <f t="shared" si="1"/>
        <v>461</v>
      </c>
      <c r="I76" s="351"/>
      <c r="J76" s="351"/>
      <c r="K76" s="352"/>
    </row>
    <row r="77" spans="1:11" s="347" customFormat="1" ht="15.95" customHeight="1">
      <c r="A77" s="348" t="s">
        <v>311</v>
      </c>
      <c r="B77" s="349"/>
      <c r="C77" s="350">
        <v>2.1999999999999999E-2</v>
      </c>
      <c r="D77" s="349" t="s">
        <v>299</v>
      </c>
      <c r="E77" s="350"/>
      <c r="F77" s="351"/>
      <c r="G77" s="351">
        <f ca="1">'11.0시중노임'!F5</f>
        <v>84404</v>
      </c>
      <c r="H77" s="351">
        <f t="shared" si="1"/>
        <v>1856</v>
      </c>
      <c r="I77" s="351"/>
      <c r="J77" s="351"/>
      <c r="K77" s="352"/>
    </row>
    <row r="78" spans="1:11" s="347" customFormat="1" ht="15.95" customHeight="1">
      <c r="A78" s="348" t="s">
        <v>653</v>
      </c>
      <c r="B78" s="349"/>
      <c r="C78" s="350">
        <v>5.0000000000000001E-3</v>
      </c>
      <c r="D78" s="349" t="s">
        <v>299</v>
      </c>
      <c r="E78" s="350"/>
      <c r="F78" s="351"/>
      <c r="G78" s="351">
        <f ca="1">'11.0시중노임'!F12</f>
        <v>86521</v>
      </c>
      <c r="H78" s="351">
        <f t="shared" si="1"/>
        <v>432</v>
      </c>
      <c r="I78" s="351"/>
      <c r="J78" s="351"/>
      <c r="K78" s="352"/>
    </row>
    <row r="79" spans="1:11" s="347" customFormat="1" ht="15.95" customHeight="1">
      <c r="A79" s="348" t="s">
        <v>300</v>
      </c>
      <c r="B79" s="349"/>
      <c r="C79" s="350">
        <v>3.7999999999999999E-2</v>
      </c>
      <c r="D79" s="349" t="s">
        <v>299</v>
      </c>
      <c r="E79" s="350"/>
      <c r="F79" s="351"/>
      <c r="G79" s="351">
        <f ca="1">'11.0시중노임'!F6</f>
        <v>68965</v>
      </c>
      <c r="H79" s="351">
        <f t="shared" si="1"/>
        <v>2620</v>
      </c>
      <c r="I79" s="351"/>
      <c r="J79" s="351"/>
      <c r="K79" s="352"/>
    </row>
    <row r="80" spans="1:11" s="347" customFormat="1" ht="15.95" customHeight="1">
      <c r="A80" s="348" t="s">
        <v>304</v>
      </c>
      <c r="B80" s="349"/>
      <c r="C80" s="350"/>
      <c r="D80" s="349"/>
      <c r="E80" s="350"/>
      <c r="F80" s="351">
        <f>INT(SUM(F68:F79))</f>
        <v>7206</v>
      </c>
      <c r="G80" s="351"/>
      <c r="H80" s="351">
        <f>INT(SUM(H68:H79))</f>
        <v>9477</v>
      </c>
      <c r="I80" s="351"/>
      <c r="J80" s="351">
        <f>INT(SUM(J68:J79))</f>
        <v>2811</v>
      </c>
      <c r="K80" s="352">
        <f>INT(SUM(F80:J80))</f>
        <v>19494</v>
      </c>
    </row>
    <row r="81" spans="1:11" s="347" customFormat="1" ht="15.95" customHeight="1">
      <c r="A81" s="348" t="s">
        <v>654</v>
      </c>
      <c r="B81" s="349"/>
      <c r="C81" s="350"/>
      <c r="D81" s="349"/>
      <c r="E81" s="350"/>
      <c r="F81" s="351">
        <f>INT(F80+F66+F59+F53)</f>
        <v>10807</v>
      </c>
      <c r="G81" s="351"/>
      <c r="H81" s="351">
        <f>INT(H80+H66+H59+H53)</f>
        <v>15656</v>
      </c>
      <c r="I81" s="351"/>
      <c r="J81" s="351">
        <f>INT(J80+J66+J59+J53)</f>
        <v>2874</v>
      </c>
      <c r="K81" s="352">
        <f>INT(SUM(F81:J81))</f>
        <v>29337</v>
      </c>
    </row>
    <row r="82" spans="1:11" s="347" customFormat="1" ht="15.95" customHeight="1">
      <c r="A82" s="348" t="s">
        <v>655</v>
      </c>
      <c r="B82" s="349" t="s">
        <v>656</v>
      </c>
      <c r="C82" s="350"/>
      <c r="D82" s="349"/>
      <c r="E82" s="350"/>
      <c r="F82" s="350">
        <f>INT(F81*3%)</f>
        <v>324</v>
      </c>
      <c r="G82" s="350"/>
      <c r="H82" s="350"/>
      <c r="I82" s="350"/>
      <c r="J82" s="350"/>
      <c r="K82" s="352">
        <f>INT(SUM(F82:J82))</f>
        <v>324</v>
      </c>
    </row>
    <row r="83" spans="1:11" s="347" customFormat="1" ht="15.95" customHeight="1">
      <c r="A83" s="348" t="s">
        <v>657</v>
      </c>
      <c r="B83" s="349" t="s">
        <v>658</v>
      </c>
      <c r="C83" s="350"/>
      <c r="D83" s="349"/>
      <c r="E83" s="350"/>
      <c r="F83" s="350">
        <f>INT(H81*2%)</f>
        <v>313</v>
      </c>
      <c r="G83" s="350"/>
      <c r="H83" s="350"/>
      <c r="I83" s="350"/>
      <c r="J83" s="350"/>
      <c r="K83" s="352">
        <f>INT(SUM(F83:J83))</f>
        <v>313</v>
      </c>
    </row>
    <row r="84" spans="1:11" s="347" customFormat="1" ht="15.95" customHeight="1">
      <c r="A84" s="362"/>
      <c r="B84" s="356" t="s">
        <v>659</v>
      </c>
      <c r="C84" s="356"/>
      <c r="D84" s="357"/>
      <c r="E84" s="356"/>
      <c r="F84" s="356"/>
      <c r="G84" s="356"/>
      <c r="H84" s="356"/>
      <c r="I84" s="356"/>
      <c r="J84" s="356"/>
      <c r="K84" s="359"/>
    </row>
    <row r="85" spans="1:11" s="347" customFormat="1" ht="15.95" customHeight="1">
      <c r="A85" s="363" t="s">
        <v>660</v>
      </c>
      <c r="B85" s="364"/>
      <c r="C85" s="364"/>
      <c r="D85" s="365"/>
      <c r="E85" s="364"/>
      <c r="F85" s="366">
        <f>INT(SUM(F81:F83))</f>
        <v>11444</v>
      </c>
      <c r="G85" s="366"/>
      <c r="H85" s="366">
        <f>INT(SUM(H81:H83))</f>
        <v>15656</v>
      </c>
      <c r="I85" s="366"/>
      <c r="J85" s="366">
        <f>INT(SUM(J81:J83))</f>
        <v>2874</v>
      </c>
      <c r="K85" s="367">
        <f>SUM(K81:K83)</f>
        <v>29974</v>
      </c>
    </row>
    <row r="86" spans="1:11" s="347" customFormat="1" ht="12.95" customHeight="1">
      <c r="A86" s="342"/>
      <c r="B86" s="342"/>
      <c r="C86" s="342"/>
      <c r="D86" s="368"/>
      <c r="E86" s="342"/>
      <c r="F86" s="342"/>
      <c r="G86" s="1798" t="s">
        <v>661</v>
      </c>
      <c r="H86" s="1798"/>
      <c r="I86" s="1798"/>
      <c r="J86" s="1798"/>
      <c r="K86" s="1798"/>
    </row>
    <row r="87" spans="1:11" ht="26.1" customHeight="1">
      <c r="A87" s="1804" t="s">
        <v>671</v>
      </c>
      <c r="B87" s="1804"/>
      <c r="C87" s="1804"/>
      <c r="D87" s="1804"/>
      <c r="E87" s="1804"/>
      <c r="F87" s="1804"/>
      <c r="G87" s="1804"/>
      <c r="H87" s="1804"/>
      <c r="I87" s="1804"/>
      <c r="J87" s="1804"/>
      <c r="K87" s="1804"/>
    </row>
    <row r="88" spans="1:11" ht="12.95" customHeight="1">
      <c r="A88" s="340"/>
      <c r="B88" s="340"/>
      <c r="C88" s="340"/>
      <c r="D88" s="341"/>
      <c r="E88" s="340"/>
      <c r="F88" s="340"/>
      <c r="G88" s="340"/>
      <c r="H88" s="340"/>
      <c r="I88" s="340"/>
      <c r="J88" s="340"/>
      <c r="K88" s="342"/>
    </row>
    <row r="89" spans="1:11" s="347" customFormat="1" ht="15.95" customHeight="1">
      <c r="A89" s="343" t="s">
        <v>1171</v>
      </c>
      <c r="B89" s="344"/>
      <c r="C89" s="344"/>
      <c r="D89" s="345"/>
      <c r="E89" s="344"/>
      <c r="F89" s="344"/>
      <c r="G89" s="344"/>
      <c r="H89" s="344"/>
      <c r="I89" s="344"/>
      <c r="J89" s="344"/>
      <c r="K89" s="346"/>
    </row>
    <row r="90" spans="1:11" s="347" customFormat="1" ht="15.95" customHeight="1">
      <c r="A90" s="1803" t="s">
        <v>1172</v>
      </c>
      <c r="B90" s="1797" t="s">
        <v>982</v>
      </c>
      <c r="C90" s="1797" t="s">
        <v>1173</v>
      </c>
      <c r="D90" s="1797" t="s">
        <v>983</v>
      </c>
      <c r="E90" s="1797" t="s">
        <v>815</v>
      </c>
      <c r="F90" s="1797"/>
      <c r="G90" s="1797" t="s">
        <v>814</v>
      </c>
      <c r="H90" s="1797"/>
      <c r="I90" s="1797" t="s">
        <v>816</v>
      </c>
      <c r="J90" s="1797"/>
      <c r="K90" s="1800" t="s">
        <v>1174</v>
      </c>
    </row>
    <row r="91" spans="1:11" s="347" customFormat="1" ht="15.95" customHeight="1">
      <c r="A91" s="1803"/>
      <c r="B91" s="1797"/>
      <c r="C91" s="1797"/>
      <c r="D91" s="1797"/>
      <c r="E91" s="349" t="s">
        <v>1175</v>
      </c>
      <c r="F91" s="349" t="s">
        <v>1176</v>
      </c>
      <c r="G91" s="349" t="s">
        <v>1175</v>
      </c>
      <c r="H91" s="349" t="s">
        <v>1176</v>
      </c>
      <c r="I91" s="349" t="s">
        <v>1175</v>
      </c>
      <c r="J91" s="349" t="s">
        <v>1176</v>
      </c>
      <c r="K91" s="1800"/>
    </row>
    <row r="92" spans="1:11" s="347" customFormat="1" ht="15.95" customHeight="1">
      <c r="A92" s="348" t="s">
        <v>1177</v>
      </c>
      <c r="B92" s="349" t="s">
        <v>1178</v>
      </c>
      <c r="C92" s="350">
        <v>1.9E-2</v>
      </c>
      <c r="D92" s="349" t="s">
        <v>1179</v>
      </c>
      <c r="E92" s="351">
        <f>E49</f>
        <v>11704</v>
      </c>
      <c r="F92" s="351">
        <f>INT(C92*E92)</f>
        <v>222</v>
      </c>
      <c r="G92" s="351">
        <f>G49</f>
        <v>14915</v>
      </c>
      <c r="H92" s="351">
        <f>INT(C92*G92)</f>
        <v>283</v>
      </c>
      <c r="I92" s="351">
        <f>I49</f>
        <v>3752</v>
      </c>
      <c r="J92" s="351">
        <f>INT(C92*I92)</f>
        <v>71</v>
      </c>
      <c r="K92" s="352"/>
    </row>
    <row r="93" spans="1:11" s="347" customFormat="1" ht="15.95" customHeight="1">
      <c r="A93" s="348" t="s">
        <v>1180</v>
      </c>
      <c r="B93" s="353"/>
      <c r="C93" s="350">
        <v>1.2E-2</v>
      </c>
      <c r="D93" s="349" t="s">
        <v>820</v>
      </c>
      <c r="E93" s="351"/>
      <c r="F93" s="351"/>
      <c r="G93" s="351">
        <f ca="1">'11.0시중노임'!F3</f>
        <v>79533</v>
      </c>
      <c r="H93" s="351">
        <f>INT(C93*G93)</f>
        <v>954</v>
      </c>
      <c r="I93" s="351"/>
      <c r="J93" s="351"/>
      <c r="K93" s="352"/>
    </row>
    <row r="94" spans="1:11" s="347" customFormat="1" ht="15.95" customHeight="1">
      <c r="A94" s="348" t="s">
        <v>971</v>
      </c>
      <c r="B94" s="349"/>
      <c r="C94" s="350">
        <v>1.2E-2</v>
      </c>
      <c r="D94" s="349" t="s">
        <v>820</v>
      </c>
      <c r="E94" s="351"/>
      <c r="F94" s="351"/>
      <c r="G94" s="351">
        <f ca="1">'11.0시중노임'!F6</f>
        <v>68965</v>
      </c>
      <c r="H94" s="351">
        <f>INT(C94*G94)</f>
        <v>827</v>
      </c>
      <c r="I94" s="351"/>
      <c r="J94" s="351"/>
      <c r="K94" s="352"/>
    </row>
    <row r="95" spans="1:11" s="347" customFormat="1" ht="18.95" customHeight="1">
      <c r="A95" s="354" t="s">
        <v>1181</v>
      </c>
      <c r="B95" s="349" t="s">
        <v>1182</v>
      </c>
      <c r="C95" s="350" t="s">
        <v>1183</v>
      </c>
      <c r="D95" s="349"/>
      <c r="E95" s="351"/>
      <c r="F95" s="351">
        <f>INT(H96*2.5%)</f>
        <v>51</v>
      </c>
      <c r="G95" s="351"/>
      <c r="H95" s="351"/>
      <c r="I95" s="351"/>
      <c r="J95" s="351"/>
      <c r="K95" s="352"/>
    </row>
    <row r="96" spans="1:11" s="347" customFormat="1" ht="15.95" customHeight="1">
      <c r="A96" s="348" t="s">
        <v>956</v>
      </c>
      <c r="B96" s="349"/>
      <c r="C96" s="350"/>
      <c r="D96" s="349"/>
      <c r="E96" s="351"/>
      <c r="F96" s="351">
        <f>SUM(F92:F95)</f>
        <v>273</v>
      </c>
      <c r="G96" s="351"/>
      <c r="H96" s="351">
        <f>SUM(H92:H95)</f>
        <v>2064</v>
      </c>
      <c r="I96" s="351"/>
      <c r="J96" s="351">
        <f>SUM(J92:J95)</f>
        <v>71</v>
      </c>
      <c r="K96" s="352">
        <f>INT(SUM(F96:J96))</f>
        <v>2408</v>
      </c>
    </row>
    <row r="97" spans="1:11" s="347" customFormat="1" ht="15.95" customHeight="1">
      <c r="A97" s="355" t="s">
        <v>1184</v>
      </c>
      <c r="B97" s="356"/>
      <c r="C97" s="356"/>
      <c r="D97" s="357"/>
      <c r="E97" s="358"/>
      <c r="F97" s="358"/>
      <c r="G97" s="358"/>
      <c r="H97" s="358"/>
      <c r="I97" s="358"/>
      <c r="J97" s="358"/>
      <c r="K97" s="359"/>
    </row>
    <row r="98" spans="1:11" s="347" customFormat="1" ht="15.95" customHeight="1">
      <c r="A98" s="348" t="s">
        <v>1185</v>
      </c>
      <c r="B98" s="349" t="s">
        <v>1186</v>
      </c>
      <c r="C98" s="350">
        <v>0.23</v>
      </c>
      <c r="D98" s="349" t="s">
        <v>1166</v>
      </c>
      <c r="E98" s="351">
        <f>E55</f>
        <v>830</v>
      </c>
      <c r="F98" s="351">
        <f>INT(C98*E98)</f>
        <v>190</v>
      </c>
      <c r="G98" s="351"/>
      <c r="H98" s="351"/>
      <c r="I98" s="351"/>
      <c r="J98" s="351"/>
      <c r="K98" s="352"/>
    </row>
    <row r="99" spans="1:11" s="347" customFormat="1" ht="15.95" customHeight="1">
      <c r="A99" s="348" t="s">
        <v>1187</v>
      </c>
      <c r="B99" s="349" t="s">
        <v>1188</v>
      </c>
      <c r="C99" s="350">
        <v>0.5</v>
      </c>
      <c r="D99" s="349" t="s">
        <v>1166</v>
      </c>
      <c r="E99" s="351">
        <f>E56</f>
        <v>660</v>
      </c>
      <c r="F99" s="351">
        <f>INT(C99*E99)</f>
        <v>330</v>
      </c>
      <c r="G99" s="351"/>
      <c r="H99" s="351"/>
      <c r="I99" s="351"/>
      <c r="J99" s="351"/>
      <c r="K99" s="352"/>
    </row>
    <row r="100" spans="1:11" s="347" customFormat="1" ht="15.95" customHeight="1">
      <c r="A100" s="348" t="s">
        <v>967</v>
      </c>
      <c r="B100" s="349"/>
      <c r="C100" s="350">
        <v>6.0000000000000001E-3</v>
      </c>
      <c r="D100" s="349" t="s">
        <v>820</v>
      </c>
      <c r="E100" s="351"/>
      <c r="F100" s="351"/>
      <c r="G100" s="351">
        <f ca="1">'11.0시중노임'!F5</f>
        <v>84404</v>
      </c>
      <c r="H100" s="351">
        <f>INT(C100*G100)</f>
        <v>506</v>
      </c>
      <c r="I100" s="351"/>
      <c r="J100" s="351"/>
      <c r="K100" s="352"/>
    </row>
    <row r="101" spans="1:11" s="347" customFormat="1" ht="15.95" customHeight="1">
      <c r="A101" s="348" t="s">
        <v>971</v>
      </c>
      <c r="B101" s="349"/>
      <c r="C101" s="350">
        <v>6.0000000000000001E-3</v>
      </c>
      <c r="D101" s="349" t="s">
        <v>820</v>
      </c>
      <c r="E101" s="351"/>
      <c r="F101" s="351"/>
      <c r="G101" s="351">
        <f ca="1">'11.0시중노임'!F6</f>
        <v>68965</v>
      </c>
      <c r="H101" s="351">
        <f>INT(C101*G101)</f>
        <v>413</v>
      </c>
      <c r="I101" s="351"/>
      <c r="J101" s="351"/>
      <c r="K101" s="352"/>
    </row>
    <row r="102" spans="1:11" s="347" customFormat="1" ht="15.95" customHeight="1">
      <c r="A102" s="348" t="s">
        <v>956</v>
      </c>
      <c r="B102" s="349"/>
      <c r="C102" s="350"/>
      <c r="D102" s="349"/>
      <c r="E102" s="351"/>
      <c r="F102" s="351">
        <f>INT(SUM(F98:F101))</f>
        <v>520</v>
      </c>
      <c r="G102" s="351"/>
      <c r="H102" s="351">
        <f>INT(SUM(H98:H101))</f>
        <v>919</v>
      </c>
      <c r="I102" s="351"/>
      <c r="J102" s="351"/>
      <c r="K102" s="352">
        <f>INT(SUM(F102:J102))</f>
        <v>1439</v>
      </c>
    </row>
    <row r="103" spans="1:11" s="347" customFormat="1" ht="15.95" customHeight="1">
      <c r="A103" s="355" t="s">
        <v>1189</v>
      </c>
      <c r="B103" s="357"/>
      <c r="C103" s="356"/>
      <c r="D103" s="357"/>
      <c r="E103" s="358"/>
      <c r="F103" s="358"/>
      <c r="G103" s="358"/>
      <c r="H103" s="358"/>
      <c r="I103" s="358"/>
      <c r="J103" s="358"/>
      <c r="K103" s="359"/>
    </row>
    <row r="104" spans="1:11" s="347" customFormat="1" ht="15.95" customHeight="1">
      <c r="A104" s="348" t="s">
        <v>1190</v>
      </c>
      <c r="B104" s="349" t="s">
        <v>1191</v>
      </c>
      <c r="C104" s="350">
        <v>1.3</v>
      </c>
      <c r="D104" s="349" t="s">
        <v>1162</v>
      </c>
      <c r="E104" s="351">
        <f>E61</f>
        <v>2210</v>
      </c>
      <c r="F104" s="351">
        <f>INT(C104*E104)</f>
        <v>2873</v>
      </c>
      <c r="G104" s="351"/>
      <c r="H104" s="351"/>
      <c r="I104" s="351"/>
      <c r="J104" s="351"/>
      <c r="K104" s="352"/>
    </row>
    <row r="105" spans="1:11" s="347" customFormat="1" ht="15.95" customHeight="1">
      <c r="A105" s="348" t="s">
        <v>1192</v>
      </c>
      <c r="B105" s="349" t="s">
        <v>1193</v>
      </c>
      <c r="C105" s="350">
        <v>1.3</v>
      </c>
      <c r="D105" s="349" t="s">
        <v>1170</v>
      </c>
      <c r="E105" s="351">
        <f>E62</f>
        <v>150</v>
      </c>
      <c r="F105" s="351">
        <f>INT(C105*E105)</f>
        <v>195</v>
      </c>
      <c r="G105" s="351"/>
      <c r="H105" s="351"/>
      <c r="I105" s="351"/>
      <c r="J105" s="351"/>
      <c r="K105" s="352"/>
    </row>
    <row r="106" spans="1:11" s="347" customFormat="1" ht="15.95" customHeight="1">
      <c r="A106" s="348" t="s">
        <v>970</v>
      </c>
      <c r="B106" s="349"/>
      <c r="C106" s="350">
        <v>5.0000000000000001E-3</v>
      </c>
      <c r="D106" s="349" t="s">
        <v>820</v>
      </c>
      <c r="E106" s="351"/>
      <c r="F106" s="351"/>
      <c r="G106" s="351">
        <f ca="1">'11.0시중노임'!F4</f>
        <v>92218</v>
      </c>
      <c r="H106" s="351">
        <f>INT(C106*G106)</f>
        <v>461</v>
      </c>
      <c r="I106" s="351"/>
      <c r="J106" s="351"/>
      <c r="K106" s="352"/>
    </row>
    <row r="107" spans="1:11" s="347" customFormat="1" ht="15.95" customHeight="1">
      <c r="A107" s="348" t="s">
        <v>967</v>
      </c>
      <c r="B107" s="349"/>
      <c r="C107" s="350">
        <v>0.02</v>
      </c>
      <c r="D107" s="349" t="s">
        <v>820</v>
      </c>
      <c r="E107" s="351"/>
      <c r="F107" s="351"/>
      <c r="G107" s="351">
        <f ca="1">'11.0시중노임'!F5</f>
        <v>84404</v>
      </c>
      <c r="H107" s="351">
        <f>INT(C107*G107)</f>
        <v>1688</v>
      </c>
      <c r="I107" s="351"/>
      <c r="J107" s="351"/>
      <c r="K107" s="352"/>
    </row>
    <row r="108" spans="1:11" s="347" customFormat="1" ht="15.95" customHeight="1">
      <c r="A108" s="348" t="s">
        <v>971</v>
      </c>
      <c r="B108" s="349"/>
      <c r="C108" s="360">
        <v>0.02</v>
      </c>
      <c r="D108" s="349" t="s">
        <v>820</v>
      </c>
      <c r="E108" s="351"/>
      <c r="F108" s="351"/>
      <c r="G108" s="351">
        <f ca="1">'11.0시중노임'!F6</f>
        <v>68965</v>
      </c>
      <c r="H108" s="351">
        <f>INT(C108*G108)</f>
        <v>1379</v>
      </c>
      <c r="I108" s="351"/>
      <c r="J108" s="351"/>
      <c r="K108" s="352"/>
    </row>
    <row r="109" spans="1:11" s="347" customFormat="1" ht="15.95" customHeight="1">
      <c r="A109" s="348" t="s">
        <v>956</v>
      </c>
      <c r="B109" s="349"/>
      <c r="C109" s="361"/>
      <c r="D109" s="349"/>
      <c r="E109" s="351"/>
      <c r="F109" s="351">
        <f>INT(SUM(F104:F108))</f>
        <v>3068</v>
      </c>
      <c r="G109" s="351"/>
      <c r="H109" s="351">
        <f>INT(SUM(H104:H108))</f>
        <v>3528</v>
      </c>
      <c r="I109" s="351"/>
      <c r="J109" s="351"/>
      <c r="K109" s="352">
        <f>INT(SUM(F109:J109))</f>
        <v>6596</v>
      </c>
    </row>
    <row r="110" spans="1:11" s="347" customFormat="1" ht="15.95" customHeight="1">
      <c r="A110" s="355" t="s">
        <v>1194</v>
      </c>
      <c r="B110" s="357"/>
      <c r="C110" s="356"/>
      <c r="D110" s="357"/>
      <c r="E110" s="358"/>
      <c r="F110" s="358"/>
      <c r="G110" s="358"/>
      <c r="H110" s="358"/>
      <c r="I110" s="358"/>
      <c r="J110" s="358"/>
      <c r="K110" s="359"/>
    </row>
    <row r="111" spans="1:11" s="347" customFormat="1" ht="15.95" customHeight="1">
      <c r="A111" s="348" t="s">
        <v>1195</v>
      </c>
      <c r="B111" s="349"/>
      <c r="C111" s="350">
        <v>0.11</v>
      </c>
      <c r="D111" s="349" t="s">
        <v>1196</v>
      </c>
      <c r="E111" s="351">
        <f>E68</f>
        <v>55000</v>
      </c>
      <c r="F111" s="351">
        <f>INT(C111*E111)</f>
        <v>6050</v>
      </c>
      <c r="G111" s="351"/>
      <c r="H111" s="351"/>
      <c r="I111" s="351"/>
      <c r="J111" s="351"/>
      <c r="K111" s="352"/>
    </row>
    <row r="112" spans="1:11" s="347" customFormat="1" ht="15.95" customHeight="1">
      <c r="A112" s="348" t="s">
        <v>1197</v>
      </c>
      <c r="B112" s="349" t="s">
        <v>1198</v>
      </c>
      <c r="C112" s="350">
        <v>120</v>
      </c>
      <c r="D112" s="349" t="s">
        <v>1199</v>
      </c>
      <c r="E112" s="351">
        <f>E69</f>
        <v>10</v>
      </c>
      <c r="F112" s="351">
        <f>INT(C112*E112)</f>
        <v>1200</v>
      </c>
      <c r="G112" s="351"/>
      <c r="H112" s="351"/>
      <c r="I112" s="351"/>
      <c r="J112" s="351"/>
      <c r="K112" s="352"/>
    </row>
    <row r="113" spans="1:11" s="347" customFormat="1" ht="15.95" customHeight="1">
      <c r="A113" s="348" t="s">
        <v>1200</v>
      </c>
      <c r="B113" s="349" t="s">
        <v>1201</v>
      </c>
      <c r="C113" s="350">
        <v>0.08</v>
      </c>
      <c r="D113" s="349" t="s">
        <v>1179</v>
      </c>
      <c r="E113" s="351"/>
      <c r="F113" s="351"/>
      <c r="G113" s="351"/>
      <c r="H113" s="351"/>
      <c r="I113" s="351">
        <f t="shared" ref="I113:I118" si="2">I70</f>
        <v>24973</v>
      </c>
      <c r="J113" s="351">
        <f t="shared" ref="J113:J118" si="3">INT(C113*I113)</f>
        <v>1997</v>
      </c>
      <c r="K113" s="352"/>
    </row>
    <row r="114" spans="1:11" s="347" customFormat="1" ht="15.95" customHeight="1">
      <c r="A114" s="348" t="s">
        <v>1202</v>
      </c>
      <c r="B114" s="349" t="s">
        <v>1203</v>
      </c>
      <c r="C114" s="350">
        <v>0.08</v>
      </c>
      <c r="D114" s="349" t="s">
        <v>1179</v>
      </c>
      <c r="E114" s="351">
        <f>E71</f>
        <v>35154</v>
      </c>
      <c r="F114" s="351">
        <f>INT(C114*E114)</f>
        <v>2812</v>
      </c>
      <c r="G114" s="351">
        <f>G71</f>
        <v>20561</v>
      </c>
      <c r="H114" s="351">
        <f t="shared" ref="H114:H122" si="4">INT(C114*G114)</f>
        <v>1644</v>
      </c>
      <c r="I114" s="351">
        <f t="shared" si="2"/>
        <v>7905</v>
      </c>
      <c r="J114" s="351">
        <f t="shared" si="3"/>
        <v>632</v>
      </c>
      <c r="K114" s="352"/>
    </row>
    <row r="115" spans="1:11" s="347" customFormat="1" ht="15.95" customHeight="1">
      <c r="A115" s="348" t="s">
        <v>1177</v>
      </c>
      <c r="B115" s="349" t="s">
        <v>1178</v>
      </c>
      <c r="C115" s="350">
        <v>0.08</v>
      </c>
      <c r="D115" s="349" t="s">
        <v>1179</v>
      </c>
      <c r="E115" s="351">
        <f>E72</f>
        <v>11704</v>
      </c>
      <c r="F115" s="351">
        <f>INT(C115*E115)</f>
        <v>936</v>
      </c>
      <c r="G115" s="351">
        <f>G72</f>
        <v>14915</v>
      </c>
      <c r="H115" s="351">
        <f t="shared" si="4"/>
        <v>1193</v>
      </c>
      <c r="I115" s="351">
        <f t="shared" si="2"/>
        <v>3752</v>
      </c>
      <c r="J115" s="351">
        <f t="shared" si="3"/>
        <v>300</v>
      </c>
      <c r="K115" s="352"/>
    </row>
    <row r="116" spans="1:11" s="347" customFormat="1" ht="15.95" customHeight="1">
      <c r="A116" s="348" t="s">
        <v>1204</v>
      </c>
      <c r="B116" s="349" t="s">
        <v>1205</v>
      </c>
      <c r="C116" s="350">
        <v>0.09</v>
      </c>
      <c r="D116" s="349" t="s">
        <v>1179</v>
      </c>
      <c r="E116" s="351">
        <f>E73</f>
        <v>6640</v>
      </c>
      <c r="F116" s="351">
        <f>INT(C116*E116)</f>
        <v>597</v>
      </c>
      <c r="G116" s="351">
        <f>G73</f>
        <v>17696</v>
      </c>
      <c r="H116" s="351">
        <f t="shared" si="4"/>
        <v>1592</v>
      </c>
      <c r="I116" s="351">
        <f t="shared" si="2"/>
        <v>10362</v>
      </c>
      <c r="J116" s="351">
        <f t="shared" si="3"/>
        <v>932</v>
      </c>
      <c r="K116" s="352"/>
    </row>
    <row r="117" spans="1:11" s="347" customFormat="1" ht="15.95" customHeight="1">
      <c r="A117" s="348" t="s">
        <v>1206</v>
      </c>
      <c r="B117" s="349" t="s">
        <v>1207</v>
      </c>
      <c r="C117" s="350">
        <v>0.08</v>
      </c>
      <c r="D117" s="349" t="s">
        <v>1179</v>
      </c>
      <c r="E117" s="351">
        <f>E74</f>
        <v>13117</v>
      </c>
      <c r="F117" s="351">
        <f>INT(C117*E117)</f>
        <v>1049</v>
      </c>
      <c r="G117" s="351">
        <f>G74</f>
        <v>17696</v>
      </c>
      <c r="H117" s="351">
        <f t="shared" si="4"/>
        <v>1415</v>
      </c>
      <c r="I117" s="351">
        <f t="shared" si="2"/>
        <v>7823</v>
      </c>
      <c r="J117" s="351">
        <f t="shared" si="3"/>
        <v>625</v>
      </c>
      <c r="K117" s="352"/>
    </row>
    <row r="118" spans="1:11" s="347" customFormat="1" ht="15.95" customHeight="1">
      <c r="A118" s="348" t="s">
        <v>817</v>
      </c>
      <c r="B118" s="349" t="s">
        <v>1208</v>
      </c>
      <c r="C118" s="350">
        <v>0.08</v>
      </c>
      <c r="D118" s="349" t="s">
        <v>1179</v>
      </c>
      <c r="E118" s="351">
        <f>E75</f>
        <v>11978</v>
      </c>
      <c r="F118" s="351">
        <f>INT(C118*E118)</f>
        <v>958</v>
      </c>
      <c r="G118" s="351">
        <f>G75</f>
        <v>17696</v>
      </c>
      <c r="H118" s="351">
        <f t="shared" si="4"/>
        <v>1415</v>
      </c>
      <c r="I118" s="351">
        <f t="shared" si="2"/>
        <v>6117</v>
      </c>
      <c r="J118" s="351">
        <f t="shared" si="3"/>
        <v>489</v>
      </c>
      <c r="K118" s="352"/>
    </row>
    <row r="119" spans="1:11" s="347" customFormat="1" ht="15.95" customHeight="1">
      <c r="A119" s="348" t="s">
        <v>970</v>
      </c>
      <c r="B119" s="349"/>
      <c r="C119" s="350">
        <v>8.0000000000000002E-3</v>
      </c>
      <c r="D119" s="349" t="s">
        <v>820</v>
      </c>
      <c r="E119" s="350"/>
      <c r="F119" s="351"/>
      <c r="G119" s="351">
        <f ca="1">'11.0시중노임'!F4</f>
        <v>92218</v>
      </c>
      <c r="H119" s="351">
        <f t="shared" si="4"/>
        <v>737</v>
      </c>
      <c r="I119" s="351"/>
      <c r="J119" s="351"/>
      <c r="K119" s="352"/>
    </row>
    <row r="120" spans="1:11" s="347" customFormat="1" ht="15.95" customHeight="1">
      <c r="A120" s="348" t="s">
        <v>967</v>
      </c>
      <c r="B120" s="349"/>
      <c r="C120" s="350">
        <v>3.5000000000000003E-2</v>
      </c>
      <c r="D120" s="349" t="s">
        <v>820</v>
      </c>
      <c r="E120" s="350"/>
      <c r="F120" s="351"/>
      <c r="G120" s="351">
        <f ca="1">'11.0시중노임'!F5</f>
        <v>84404</v>
      </c>
      <c r="H120" s="351">
        <f t="shared" si="4"/>
        <v>2954</v>
      </c>
      <c r="I120" s="351"/>
      <c r="J120" s="351"/>
      <c r="K120" s="352"/>
    </row>
    <row r="121" spans="1:11" s="347" customFormat="1" ht="15.95" customHeight="1">
      <c r="A121" s="348" t="s">
        <v>1209</v>
      </c>
      <c r="B121" s="349"/>
      <c r="C121" s="350">
        <v>8.0000000000000002E-3</v>
      </c>
      <c r="D121" s="349" t="s">
        <v>820</v>
      </c>
      <c r="E121" s="350"/>
      <c r="F121" s="351"/>
      <c r="G121" s="351">
        <f ca="1">'11.0시중노임'!F12</f>
        <v>86521</v>
      </c>
      <c r="H121" s="351">
        <f t="shared" si="4"/>
        <v>692</v>
      </c>
      <c r="I121" s="351"/>
      <c r="J121" s="351"/>
      <c r="K121" s="352"/>
    </row>
    <row r="122" spans="1:11" s="347" customFormat="1" ht="15.95" customHeight="1">
      <c r="A122" s="348" t="s">
        <v>971</v>
      </c>
      <c r="B122" s="349"/>
      <c r="C122" s="350">
        <v>7.0000000000000007E-2</v>
      </c>
      <c r="D122" s="349" t="s">
        <v>820</v>
      </c>
      <c r="E122" s="350"/>
      <c r="F122" s="351"/>
      <c r="G122" s="351">
        <f ca="1">'11.0시중노임'!F6</f>
        <v>68965</v>
      </c>
      <c r="H122" s="351">
        <f t="shared" si="4"/>
        <v>4827</v>
      </c>
      <c r="I122" s="351"/>
      <c r="J122" s="351"/>
      <c r="K122" s="352"/>
    </row>
    <row r="123" spans="1:11" s="347" customFormat="1" ht="15.95" customHeight="1">
      <c r="A123" s="348" t="s">
        <v>956</v>
      </c>
      <c r="B123" s="349"/>
      <c r="C123" s="350"/>
      <c r="D123" s="349"/>
      <c r="E123" s="350"/>
      <c r="F123" s="351">
        <f>INT(SUM(F111:F122))</f>
        <v>13602</v>
      </c>
      <c r="G123" s="351"/>
      <c r="H123" s="351">
        <f>INT(SUM(H111:H122))</f>
        <v>16469</v>
      </c>
      <c r="I123" s="351"/>
      <c r="J123" s="351">
        <f>INT(SUM(J111:J122))</f>
        <v>4975</v>
      </c>
      <c r="K123" s="352">
        <f>INT(SUM(F123:J123))</f>
        <v>35046</v>
      </c>
    </row>
    <row r="124" spans="1:11" s="347" customFormat="1" ht="15.95" customHeight="1">
      <c r="A124" s="348" t="s">
        <v>960</v>
      </c>
      <c r="B124" s="349"/>
      <c r="C124" s="350"/>
      <c r="D124" s="349"/>
      <c r="E124" s="350"/>
      <c r="F124" s="351">
        <f>INT(F123+F109+F102+F96)</f>
        <v>17463</v>
      </c>
      <c r="G124" s="351"/>
      <c r="H124" s="351">
        <f>INT(H123+H109+H102+H96)</f>
        <v>22980</v>
      </c>
      <c r="I124" s="351"/>
      <c r="J124" s="351">
        <f>INT(J123+J109+J102+J96)</f>
        <v>5046</v>
      </c>
      <c r="K124" s="352">
        <f>INT(SUM(F124:J124))</f>
        <v>45489</v>
      </c>
    </row>
    <row r="125" spans="1:11" s="347" customFormat="1" ht="15.95" customHeight="1">
      <c r="A125" s="348" t="s">
        <v>1210</v>
      </c>
      <c r="B125" s="349" t="s">
        <v>1211</v>
      </c>
      <c r="C125" s="350"/>
      <c r="D125" s="349"/>
      <c r="E125" s="350"/>
      <c r="F125" s="350">
        <f>INT(F124*3%)</f>
        <v>523</v>
      </c>
      <c r="G125" s="350"/>
      <c r="H125" s="350"/>
      <c r="I125" s="350"/>
      <c r="J125" s="350"/>
      <c r="K125" s="352">
        <f>INT(SUM(F125:J125))</f>
        <v>523</v>
      </c>
    </row>
    <row r="126" spans="1:11" s="347" customFormat="1" ht="15.95" customHeight="1">
      <c r="A126" s="348" t="s">
        <v>1212</v>
      </c>
      <c r="B126" s="349" t="s">
        <v>1213</v>
      </c>
      <c r="C126" s="350"/>
      <c r="D126" s="349"/>
      <c r="E126" s="350"/>
      <c r="F126" s="350">
        <f>INT(H124*2%)</f>
        <v>459</v>
      </c>
      <c r="G126" s="350"/>
      <c r="H126" s="350"/>
      <c r="I126" s="350"/>
      <c r="J126" s="350"/>
      <c r="K126" s="352">
        <f>INT(SUM(F126:J126))</f>
        <v>459</v>
      </c>
    </row>
    <row r="127" spans="1:11" s="347" customFormat="1" ht="15.95" customHeight="1">
      <c r="A127" s="362"/>
      <c r="B127" s="356" t="s">
        <v>1214</v>
      </c>
      <c r="C127" s="356"/>
      <c r="D127" s="357"/>
      <c r="E127" s="356"/>
      <c r="F127" s="356"/>
      <c r="G127" s="356"/>
      <c r="H127" s="356"/>
      <c r="I127" s="356"/>
      <c r="J127" s="356"/>
      <c r="K127" s="359"/>
    </row>
    <row r="128" spans="1:11" s="347" customFormat="1" ht="15.95" customHeight="1">
      <c r="A128" s="363" t="s">
        <v>1215</v>
      </c>
      <c r="B128" s="364"/>
      <c r="C128" s="364"/>
      <c r="D128" s="365"/>
      <c r="E128" s="364"/>
      <c r="F128" s="366">
        <f>INT(SUM(F124:F126))</f>
        <v>18445</v>
      </c>
      <c r="G128" s="366"/>
      <c r="H128" s="366">
        <f>INT(SUM(H124:H126))</f>
        <v>22980</v>
      </c>
      <c r="I128" s="366"/>
      <c r="J128" s="366">
        <f>INT(SUM(J124:J126))</f>
        <v>5046</v>
      </c>
      <c r="K128" s="367">
        <f>INT(SUM(F128:J128))</f>
        <v>46471</v>
      </c>
    </row>
    <row r="129" spans="1:11" s="347" customFormat="1" ht="12.95" customHeight="1">
      <c r="A129" s="342"/>
      <c r="B129" s="342"/>
      <c r="C129" s="342"/>
      <c r="D129" s="368"/>
      <c r="E129" s="342"/>
      <c r="F129" s="342"/>
      <c r="G129" s="342"/>
      <c r="H129" s="342"/>
      <c r="I129" s="1798" t="s">
        <v>1216</v>
      </c>
      <c r="J129" s="1798"/>
      <c r="K129" s="1798"/>
    </row>
    <row r="130" spans="1:11" ht="26.1" customHeight="1">
      <c r="A130" s="1804" t="s">
        <v>672</v>
      </c>
      <c r="B130" s="1804"/>
      <c r="C130" s="1804"/>
      <c r="D130" s="1804"/>
      <c r="E130" s="1804"/>
      <c r="F130" s="1804"/>
      <c r="G130" s="1804"/>
      <c r="H130" s="1804"/>
      <c r="I130" s="1804"/>
      <c r="J130" s="1804"/>
      <c r="K130" s="1804"/>
    </row>
    <row r="131" spans="1:11" ht="12.95" customHeight="1">
      <c r="A131" s="340"/>
      <c r="B131" s="340"/>
      <c r="C131" s="340"/>
      <c r="D131" s="341"/>
      <c r="E131" s="340"/>
      <c r="F131" s="340"/>
      <c r="G131" s="340"/>
      <c r="H131" s="340"/>
      <c r="I131" s="340"/>
      <c r="J131" s="340"/>
      <c r="K131" s="342"/>
    </row>
    <row r="132" spans="1:11" s="347" customFormat="1" ht="15.95" customHeight="1">
      <c r="A132" s="343" t="s">
        <v>1171</v>
      </c>
      <c r="B132" s="344"/>
      <c r="C132" s="344"/>
      <c r="D132" s="345"/>
      <c r="E132" s="344"/>
      <c r="F132" s="344"/>
      <c r="G132" s="344"/>
      <c r="H132" s="344"/>
      <c r="I132" s="344"/>
      <c r="J132" s="344"/>
      <c r="K132" s="346"/>
    </row>
    <row r="133" spans="1:11" s="347" customFormat="1" ht="15.95" customHeight="1">
      <c r="A133" s="1803" t="s">
        <v>1172</v>
      </c>
      <c r="B133" s="1797" t="s">
        <v>982</v>
      </c>
      <c r="C133" s="1797" t="s">
        <v>1173</v>
      </c>
      <c r="D133" s="1797" t="s">
        <v>983</v>
      </c>
      <c r="E133" s="1797" t="s">
        <v>815</v>
      </c>
      <c r="F133" s="1797"/>
      <c r="G133" s="1797" t="s">
        <v>814</v>
      </c>
      <c r="H133" s="1797"/>
      <c r="I133" s="1797" t="s">
        <v>816</v>
      </c>
      <c r="J133" s="1797"/>
      <c r="K133" s="1800" t="s">
        <v>1174</v>
      </c>
    </row>
    <row r="134" spans="1:11" s="347" customFormat="1" ht="15.95" customHeight="1">
      <c r="A134" s="1803"/>
      <c r="B134" s="1797"/>
      <c r="C134" s="1797"/>
      <c r="D134" s="1797"/>
      <c r="E134" s="349" t="s">
        <v>1175</v>
      </c>
      <c r="F134" s="349" t="s">
        <v>1176</v>
      </c>
      <c r="G134" s="349" t="s">
        <v>1175</v>
      </c>
      <c r="H134" s="349" t="s">
        <v>1176</v>
      </c>
      <c r="I134" s="349" t="s">
        <v>1175</v>
      </c>
      <c r="J134" s="349" t="s">
        <v>1176</v>
      </c>
      <c r="K134" s="1800"/>
    </row>
    <row r="135" spans="1:11" s="347" customFormat="1" ht="15.95" customHeight="1">
      <c r="A135" s="348" t="s">
        <v>1177</v>
      </c>
      <c r="B135" s="349" t="s">
        <v>1178</v>
      </c>
      <c r="C135" s="350">
        <v>2.5999999999999999E-2</v>
      </c>
      <c r="D135" s="349" t="s">
        <v>1179</v>
      </c>
      <c r="E135" s="351">
        <f>E49</f>
        <v>11704</v>
      </c>
      <c r="F135" s="351">
        <f>INT(C135*E135)</f>
        <v>304</v>
      </c>
      <c r="G135" s="351">
        <f>G49</f>
        <v>14915</v>
      </c>
      <c r="H135" s="351">
        <f>INT(C135*G135)</f>
        <v>387</v>
      </c>
      <c r="I135" s="351">
        <f>I49</f>
        <v>3752</v>
      </c>
      <c r="J135" s="351">
        <f>INT(C135*I135)</f>
        <v>97</v>
      </c>
      <c r="K135" s="352"/>
    </row>
    <row r="136" spans="1:11" s="347" customFormat="1" ht="15.95" customHeight="1">
      <c r="A136" s="348" t="s">
        <v>1180</v>
      </c>
      <c r="B136" s="353"/>
      <c r="C136" s="350">
        <v>1.6E-2</v>
      </c>
      <c r="D136" s="349" t="s">
        <v>820</v>
      </c>
      <c r="E136" s="351"/>
      <c r="F136" s="351"/>
      <c r="G136" s="351">
        <f ca="1">'11.0시중노임'!F3</f>
        <v>79533</v>
      </c>
      <c r="H136" s="351">
        <f>INT(C136*G136)</f>
        <v>1272</v>
      </c>
      <c r="I136" s="351"/>
      <c r="J136" s="351"/>
      <c r="K136" s="352"/>
    </row>
    <row r="137" spans="1:11" s="347" customFormat="1" ht="15.95" customHeight="1">
      <c r="A137" s="348" t="s">
        <v>971</v>
      </c>
      <c r="B137" s="349"/>
      <c r="C137" s="350">
        <v>1.6E-2</v>
      </c>
      <c r="D137" s="349" t="s">
        <v>820</v>
      </c>
      <c r="E137" s="351"/>
      <c r="F137" s="351"/>
      <c r="G137" s="351">
        <f ca="1">'11.0시중노임'!F6</f>
        <v>68965</v>
      </c>
      <c r="H137" s="351">
        <f>INT(C137*G137)</f>
        <v>1103</v>
      </c>
      <c r="I137" s="351"/>
      <c r="J137" s="351"/>
      <c r="K137" s="352"/>
    </row>
    <row r="138" spans="1:11" s="347" customFormat="1" ht="18.95" customHeight="1">
      <c r="A138" s="354" t="s">
        <v>1181</v>
      </c>
      <c r="B138" s="349" t="s">
        <v>1182</v>
      </c>
      <c r="C138" s="350" t="s">
        <v>1183</v>
      </c>
      <c r="D138" s="349"/>
      <c r="E138" s="351"/>
      <c r="F138" s="351">
        <f>INT(H139*2.5%)</f>
        <v>69</v>
      </c>
      <c r="G138" s="351"/>
      <c r="H138" s="351"/>
      <c r="I138" s="351"/>
      <c r="J138" s="351"/>
      <c r="K138" s="352"/>
    </row>
    <row r="139" spans="1:11" s="347" customFormat="1" ht="15.95" customHeight="1">
      <c r="A139" s="348" t="s">
        <v>956</v>
      </c>
      <c r="B139" s="349"/>
      <c r="C139" s="350"/>
      <c r="D139" s="349"/>
      <c r="E139" s="351"/>
      <c r="F139" s="351">
        <f>SUM(F135:F138)</f>
        <v>373</v>
      </c>
      <c r="G139" s="351"/>
      <c r="H139" s="351">
        <f>SUM(H135:H138)</f>
        <v>2762</v>
      </c>
      <c r="I139" s="351"/>
      <c r="J139" s="351">
        <f>SUM(J135:J138)</f>
        <v>97</v>
      </c>
      <c r="K139" s="352">
        <f>INT(SUM(F139:J139))</f>
        <v>3232</v>
      </c>
    </row>
    <row r="140" spans="1:11" s="347" customFormat="1" ht="15.95" customHeight="1">
      <c r="A140" s="355" t="s">
        <v>1184</v>
      </c>
      <c r="B140" s="356"/>
      <c r="C140" s="356"/>
      <c r="D140" s="357"/>
      <c r="E140" s="358"/>
      <c r="F140" s="358"/>
      <c r="G140" s="358"/>
      <c r="H140" s="358"/>
      <c r="I140" s="358"/>
      <c r="J140" s="358"/>
      <c r="K140" s="359"/>
    </row>
    <row r="141" spans="1:11" s="347" customFormat="1" ht="15.95" customHeight="1">
      <c r="A141" s="348" t="s">
        <v>1185</v>
      </c>
      <c r="B141" s="349" t="s">
        <v>1217</v>
      </c>
      <c r="C141" s="350">
        <v>0.46</v>
      </c>
      <c r="D141" s="349" t="s">
        <v>1166</v>
      </c>
      <c r="E141" s="351">
        <f>E55</f>
        <v>830</v>
      </c>
      <c r="F141" s="351">
        <f>INT(C141*E141)</f>
        <v>381</v>
      </c>
      <c r="G141" s="351"/>
      <c r="H141" s="351"/>
      <c r="I141" s="351"/>
      <c r="J141" s="351"/>
      <c r="K141" s="352"/>
    </row>
    <row r="142" spans="1:11" s="347" customFormat="1" ht="15.95" customHeight="1">
      <c r="A142" s="348" t="s">
        <v>1187</v>
      </c>
      <c r="B142" s="349" t="s">
        <v>1188</v>
      </c>
      <c r="C142" s="350">
        <v>0.5</v>
      </c>
      <c r="D142" s="349" t="s">
        <v>1166</v>
      </c>
      <c r="E142" s="351">
        <f>E56</f>
        <v>660</v>
      </c>
      <c r="F142" s="351">
        <f>INT(C142*E142)</f>
        <v>330</v>
      </c>
      <c r="G142" s="351"/>
      <c r="H142" s="351"/>
      <c r="I142" s="351"/>
      <c r="J142" s="351"/>
      <c r="K142" s="352"/>
    </row>
    <row r="143" spans="1:11" s="347" customFormat="1" ht="15.95" customHeight="1">
      <c r="A143" s="348" t="s">
        <v>967</v>
      </c>
      <c r="B143" s="349"/>
      <c r="C143" s="350">
        <v>8.0000000000000002E-3</v>
      </c>
      <c r="D143" s="349" t="s">
        <v>820</v>
      </c>
      <c r="E143" s="351"/>
      <c r="F143" s="351"/>
      <c r="G143" s="351">
        <f ca="1">'11.0시중노임'!F5</f>
        <v>84404</v>
      </c>
      <c r="H143" s="351">
        <f>INT(C143*G143)</f>
        <v>675</v>
      </c>
      <c r="I143" s="351"/>
      <c r="J143" s="351"/>
      <c r="K143" s="352"/>
    </row>
    <row r="144" spans="1:11" s="347" customFormat="1" ht="15.95" customHeight="1">
      <c r="A144" s="348" t="s">
        <v>971</v>
      </c>
      <c r="B144" s="349"/>
      <c r="C144" s="350">
        <v>8.0000000000000002E-3</v>
      </c>
      <c r="D144" s="349" t="s">
        <v>820</v>
      </c>
      <c r="E144" s="351"/>
      <c r="F144" s="351"/>
      <c r="G144" s="351">
        <f ca="1">'11.0시중노임'!F6</f>
        <v>68965</v>
      </c>
      <c r="H144" s="351">
        <f>INT(C144*G144)</f>
        <v>551</v>
      </c>
      <c r="I144" s="351"/>
      <c r="J144" s="351"/>
      <c r="K144" s="352"/>
    </row>
    <row r="145" spans="1:11" s="347" customFormat="1" ht="15.95" customHeight="1">
      <c r="A145" s="348" t="s">
        <v>956</v>
      </c>
      <c r="B145" s="349"/>
      <c r="C145" s="350"/>
      <c r="D145" s="349"/>
      <c r="E145" s="351"/>
      <c r="F145" s="351">
        <f>INT(SUM(F141:F144))</f>
        <v>711</v>
      </c>
      <c r="G145" s="351"/>
      <c r="H145" s="351">
        <f>INT(SUM(H141:H144))</f>
        <v>1226</v>
      </c>
      <c r="I145" s="351"/>
      <c r="J145" s="351"/>
      <c r="K145" s="352">
        <f>INT(SUM(F145:J145))</f>
        <v>1937</v>
      </c>
    </row>
    <row r="146" spans="1:11" s="347" customFormat="1" ht="15.95" customHeight="1">
      <c r="A146" s="355" t="s">
        <v>1189</v>
      </c>
      <c r="B146" s="357"/>
      <c r="C146" s="356"/>
      <c r="D146" s="357"/>
      <c r="E146" s="358"/>
      <c r="F146" s="358"/>
      <c r="G146" s="358"/>
      <c r="H146" s="358"/>
      <c r="I146" s="358"/>
      <c r="J146" s="358"/>
      <c r="K146" s="359"/>
    </row>
    <row r="147" spans="1:11" s="347" customFormat="1" ht="15.95" customHeight="1">
      <c r="A147" s="348" t="s">
        <v>1190</v>
      </c>
      <c r="B147" s="349" t="s">
        <v>1191</v>
      </c>
      <c r="C147" s="350">
        <v>1.3</v>
      </c>
      <c r="D147" s="349" t="s">
        <v>1162</v>
      </c>
      <c r="E147" s="351">
        <f>E61</f>
        <v>2210</v>
      </c>
      <c r="F147" s="351">
        <f>INT(C147*E147)</f>
        <v>2873</v>
      </c>
      <c r="G147" s="351"/>
      <c r="H147" s="351"/>
      <c r="I147" s="351"/>
      <c r="J147" s="351"/>
      <c r="K147" s="352"/>
    </row>
    <row r="148" spans="1:11" s="347" customFormat="1" ht="15.95" customHeight="1">
      <c r="A148" s="348" t="s">
        <v>1192</v>
      </c>
      <c r="B148" s="349" t="s">
        <v>1193</v>
      </c>
      <c r="C148" s="350">
        <v>1.7</v>
      </c>
      <c r="D148" s="349" t="s">
        <v>1170</v>
      </c>
      <c r="E148" s="351">
        <f>E62</f>
        <v>150</v>
      </c>
      <c r="F148" s="351">
        <f>INT(C148*E148)</f>
        <v>255</v>
      </c>
      <c r="G148" s="351"/>
      <c r="H148" s="351"/>
      <c r="I148" s="351"/>
      <c r="J148" s="351"/>
      <c r="K148" s="352"/>
    </row>
    <row r="149" spans="1:11" s="347" customFormat="1" ht="15.95" customHeight="1">
      <c r="A149" s="348" t="s">
        <v>970</v>
      </c>
      <c r="B149" s="349"/>
      <c r="C149" s="350">
        <v>5.0000000000000001E-3</v>
      </c>
      <c r="D149" s="349" t="s">
        <v>820</v>
      </c>
      <c r="E149" s="351"/>
      <c r="F149" s="351"/>
      <c r="G149" s="351">
        <f ca="1">'11.0시중노임'!F4</f>
        <v>92218</v>
      </c>
      <c r="H149" s="351">
        <f>INT(C149*G149)</f>
        <v>461</v>
      </c>
      <c r="I149" s="351"/>
      <c r="J149" s="351"/>
      <c r="K149" s="352"/>
    </row>
    <row r="150" spans="1:11" s="347" customFormat="1" ht="15.95" customHeight="1">
      <c r="A150" s="348" t="s">
        <v>967</v>
      </c>
      <c r="B150" s="349"/>
      <c r="C150" s="350">
        <v>0.02</v>
      </c>
      <c r="D150" s="349" t="s">
        <v>820</v>
      </c>
      <c r="E150" s="351"/>
      <c r="F150" s="351"/>
      <c r="G150" s="351">
        <f ca="1">'11.0시중노임'!F5</f>
        <v>84404</v>
      </c>
      <c r="H150" s="351">
        <f>INT(C150*G150)</f>
        <v>1688</v>
      </c>
      <c r="I150" s="351"/>
      <c r="J150" s="351"/>
      <c r="K150" s="352"/>
    </row>
    <row r="151" spans="1:11" s="347" customFormat="1" ht="15.95" customHeight="1">
      <c r="A151" s="348" t="s">
        <v>971</v>
      </c>
      <c r="B151" s="349"/>
      <c r="C151" s="360">
        <v>0.02</v>
      </c>
      <c r="D151" s="349" t="s">
        <v>820</v>
      </c>
      <c r="E151" s="351"/>
      <c r="F151" s="351"/>
      <c r="G151" s="351">
        <f ca="1">'11.0시중노임'!F6</f>
        <v>68965</v>
      </c>
      <c r="H151" s="351">
        <f>INT(C151*G151)</f>
        <v>1379</v>
      </c>
      <c r="I151" s="351"/>
      <c r="J151" s="351"/>
      <c r="K151" s="352"/>
    </row>
    <row r="152" spans="1:11" s="347" customFormat="1" ht="15.95" customHeight="1">
      <c r="A152" s="348" t="s">
        <v>956</v>
      </c>
      <c r="B152" s="349"/>
      <c r="C152" s="361"/>
      <c r="D152" s="349"/>
      <c r="E152" s="351"/>
      <c r="F152" s="351">
        <f>INT(SUM(F147:F151))</f>
        <v>3128</v>
      </c>
      <c r="G152" s="351"/>
      <c r="H152" s="351">
        <f>INT(SUM(H147:H151))</f>
        <v>3528</v>
      </c>
      <c r="I152" s="351"/>
      <c r="J152" s="351"/>
      <c r="K152" s="352">
        <f>INT(SUM(F152:J152))</f>
        <v>6656</v>
      </c>
    </row>
    <row r="153" spans="1:11" s="347" customFormat="1" ht="15.95" customHeight="1">
      <c r="A153" s="355" t="s">
        <v>1194</v>
      </c>
      <c r="B153" s="357"/>
      <c r="C153" s="356"/>
      <c r="D153" s="357"/>
      <c r="E153" s="358"/>
      <c r="F153" s="358"/>
      <c r="G153" s="358"/>
      <c r="H153" s="358"/>
      <c r="I153" s="358"/>
      <c r="J153" s="358"/>
      <c r="K153" s="359"/>
    </row>
    <row r="154" spans="1:11" s="347" customFormat="1" ht="15.95" customHeight="1">
      <c r="A154" s="348" t="s">
        <v>1195</v>
      </c>
      <c r="B154" s="349"/>
      <c r="C154" s="350">
        <v>0.16500000000000001</v>
      </c>
      <c r="D154" s="349" t="s">
        <v>1196</v>
      </c>
      <c r="E154" s="351">
        <f>E68</f>
        <v>55000</v>
      </c>
      <c r="F154" s="351">
        <f>INT(C154*E154)</f>
        <v>9075</v>
      </c>
      <c r="G154" s="351"/>
      <c r="H154" s="351"/>
      <c r="I154" s="351"/>
      <c r="J154" s="351"/>
      <c r="K154" s="352"/>
    </row>
    <row r="155" spans="1:11" s="347" customFormat="1" ht="15.95" customHeight="1">
      <c r="A155" s="348" t="s">
        <v>1197</v>
      </c>
      <c r="B155" s="349" t="s">
        <v>1198</v>
      </c>
      <c r="C155" s="350">
        <v>180</v>
      </c>
      <c r="D155" s="349" t="s">
        <v>1199</v>
      </c>
      <c r="E155" s="351">
        <f>E69</f>
        <v>10</v>
      </c>
      <c r="F155" s="351">
        <f>INT(C155*E155)</f>
        <v>1800</v>
      </c>
      <c r="G155" s="351"/>
      <c r="H155" s="351"/>
      <c r="I155" s="351"/>
      <c r="J155" s="351"/>
      <c r="K155" s="352"/>
    </row>
    <row r="156" spans="1:11" s="347" customFormat="1" ht="15.95" customHeight="1">
      <c r="A156" s="348" t="s">
        <v>1200</v>
      </c>
      <c r="B156" s="349" t="s">
        <v>1201</v>
      </c>
      <c r="C156" s="350">
        <v>0.1</v>
      </c>
      <c r="D156" s="349" t="s">
        <v>1179</v>
      </c>
      <c r="E156" s="351"/>
      <c r="F156" s="351"/>
      <c r="G156" s="351"/>
      <c r="H156" s="351"/>
      <c r="I156" s="351">
        <f t="shared" ref="I156:I161" si="5">I70</f>
        <v>24973</v>
      </c>
      <c r="J156" s="351">
        <f t="shared" ref="J156:J161" si="6">INT(C156*I156)</f>
        <v>2497</v>
      </c>
      <c r="K156" s="352"/>
    </row>
    <row r="157" spans="1:11" s="347" customFormat="1" ht="15.95" customHeight="1">
      <c r="A157" s="348" t="s">
        <v>1202</v>
      </c>
      <c r="B157" s="349" t="s">
        <v>1203</v>
      </c>
      <c r="C157" s="350">
        <v>0.1</v>
      </c>
      <c r="D157" s="349" t="s">
        <v>1179</v>
      </c>
      <c r="E157" s="351">
        <f>E71</f>
        <v>35154</v>
      </c>
      <c r="F157" s="351">
        <f>INT(C157*E157)</f>
        <v>3515</v>
      </c>
      <c r="G157" s="351">
        <f>G71</f>
        <v>20561</v>
      </c>
      <c r="H157" s="351">
        <f t="shared" ref="H157:H165" si="7">INT(C157*G157)</f>
        <v>2056</v>
      </c>
      <c r="I157" s="351">
        <f t="shared" si="5"/>
        <v>7905</v>
      </c>
      <c r="J157" s="351">
        <f t="shared" si="6"/>
        <v>790</v>
      </c>
      <c r="K157" s="352"/>
    </row>
    <row r="158" spans="1:11" s="347" customFormat="1" ht="15.95" customHeight="1">
      <c r="A158" s="348" t="s">
        <v>1177</v>
      </c>
      <c r="B158" s="349" t="s">
        <v>1178</v>
      </c>
      <c r="C158" s="350">
        <v>0.1</v>
      </c>
      <c r="D158" s="349" t="s">
        <v>1179</v>
      </c>
      <c r="E158" s="351">
        <f>E72</f>
        <v>11704</v>
      </c>
      <c r="F158" s="351">
        <f>INT(C158*E158)</f>
        <v>1170</v>
      </c>
      <c r="G158" s="351">
        <f>G72</f>
        <v>14915</v>
      </c>
      <c r="H158" s="351">
        <f t="shared" si="7"/>
        <v>1491</v>
      </c>
      <c r="I158" s="351">
        <f t="shared" si="5"/>
        <v>3752</v>
      </c>
      <c r="J158" s="351">
        <f t="shared" si="6"/>
        <v>375</v>
      </c>
      <c r="K158" s="352"/>
    </row>
    <row r="159" spans="1:11" s="347" customFormat="1" ht="15.95" customHeight="1">
      <c r="A159" s="348" t="s">
        <v>1204</v>
      </c>
      <c r="B159" s="349" t="s">
        <v>1205</v>
      </c>
      <c r="C159" s="350">
        <v>0.12</v>
      </c>
      <c r="D159" s="349" t="s">
        <v>1179</v>
      </c>
      <c r="E159" s="351">
        <f>E73</f>
        <v>6640</v>
      </c>
      <c r="F159" s="351">
        <f>INT(C159*E159)</f>
        <v>796</v>
      </c>
      <c r="G159" s="351">
        <f>G73</f>
        <v>17696</v>
      </c>
      <c r="H159" s="351">
        <f t="shared" si="7"/>
        <v>2123</v>
      </c>
      <c r="I159" s="351">
        <f t="shared" si="5"/>
        <v>10362</v>
      </c>
      <c r="J159" s="351">
        <f t="shared" si="6"/>
        <v>1243</v>
      </c>
      <c r="K159" s="352"/>
    </row>
    <row r="160" spans="1:11" s="347" customFormat="1" ht="15.95" customHeight="1">
      <c r="A160" s="348" t="s">
        <v>1206</v>
      </c>
      <c r="B160" s="349" t="s">
        <v>1207</v>
      </c>
      <c r="C160" s="350">
        <v>0.1</v>
      </c>
      <c r="D160" s="349" t="s">
        <v>1179</v>
      </c>
      <c r="E160" s="351">
        <f>E74</f>
        <v>13117</v>
      </c>
      <c r="F160" s="351">
        <f>INT(C160*E160)</f>
        <v>1311</v>
      </c>
      <c r="G160" s="351">
        <f>G74</f>
        <v>17696</v>
      </c>
      <c r="H160" s="351">
        <f t="shared" si="7"/>
        <v>1769</v>
      </c>
      <c r="I160" s="351">
        <f t="shared" si="5"/>
        <v>7823</v>
      </c>
      <c r="J160" s="351">
        <f t="shared" si="6"/>
        <v>782</v>
      </c>
      <c r="K160" s="352"/>
    </row>
    <row r="161" spans="1:11" s="347" customFormat="1" ht="15.95" customHeight="1">
      <c r="A161" s="348" t="s">
        <v>817</v>
      </c>
      <c r="B161" s="349" t="s">
        <v>1208</v>
      </c>
      <c r="C161" s="350">
        <v>0.1</v>
      </c>
      <c r="D161" s="349" t="s">
        <v>1179</v>
      </c>
      <c r="E161" s="351">
        <f>E75</f>
        <v>11978</v>
      </c>
      <c r="F161" s="351">
        <f>INT(C161*E161)</f>
        <v>1197</v>
      </c>
      <c r="G161" s="351">
        <f>G75</f>
        <v>17696</v>
      </c>
      <c r="H161" s="351">
        <f t="shared" si="7"/>
        <v>1769</v>
      </c>
      <c r="I161" s="351">
        <f t="shared" si="5"/>
        <v>6117</v>
      </c>
      <c r="J161" s="351">
        <f t="shared" si="6"/>
        <v>611</v>
      </c>
      <c r="K161" s="352"/>
    </row>
    <row r="162" spans="1:11" s="347" customFormat="1" ht="15.95" customHeight="1">
      <c r="A162" s="348" t="s">
        <v>970</v>
      </c>
      <c r="B162" s="349"/>
      <c r="C162" s="350">
        <v>1.0999999999999999E-2</v>
      </c>
      <c r="D162" s="349" t="s">
        <v>820</v>
      </c>
      <c r="E162" s="350"/>
      <c r="F162" s="351"/>
      <c r="G162" s="351">
        <f ca="1">'11.0시중노임'!F4</f>
        <v>92218</v>
      </c>
      <c r="H162" s="351">
        <f t="shared" si="7"/>
        <v>1014</v>
      </c>
      <c r="I162" s="351"/>
      <c r="J162" s="351"/>
      <c r="K162" s="352"/>
    </row>
    <row r="163" spans="1:11" s="347" customFormat="1" ht="15.95" customHeight="1">
      <c r="A163" s="348" t="s">
        <v>967</v>
      </c>
      <c r="B163" s="349"/>
      <c r="C163" s="350">
        <v>4.5999999999999999E-2</v>
      </c>
      <c r="D163" s="349" t="s">
        <v>820</v>
      </c>
      <c r="E163" s="350"/>
      <c r="F163" s="351"/>
      <c r="G163" s="351">
        <f ca="1">'11.0시중노임'!F5</f>
        <v>84404</v>
      </c>
      <c r="H163" s="351">
        <f t="shared" si="7"/>
        <v>3882</v>
      </c>
      <c r="I163" s="351"/>
      <c r="J163" s="351"/>
      <c r="K163" s="352"/>
    </row>
    <row r="164" spans="1:11" s="347" customFormat="1" ht="15.95" customHeight="1">
      <c r="A164" s="348" t="s">
        <v>1209</v>
      </c>
      <c r="B164" s="349"/>
      <c r="C164" s="350">
        <v>1.0999999999999999E-2</v>
      </c>
      <c r="D164" s="349" t="s">
        <v>820</v>
      </c>
      <c r="E164" s="350"/>
      <c r="F164" s="351"/>
      <c r="G164" s="351">
        <f ca="1">'11.0시중노임'!F12</f>
        <v>86521</v>
      </c>
      <c r="H164" s="351">
        <f t="shared" si="7"/>
        <v>951</v>
      </c>
      <c r="I164" s="351"/>
      <c r="J164" s="351"/>
      <c r="K164" s="352"/>
    </row>
    <row r="165" spans="1:11" s="347" customFormat="1" ht="15.95" customHeight="1">
      <c r="A165" s="348" t="s">
        <v>971</v>
      </c>
      <c r="B165" s="349"/>
      <c r="C165" s="350">
        <v>9.2999999999999999E-2</v>
      </c>
      <c r="D165" s="349" t="s">
        <v>820</v>
      </c>
      <c r="E165" s="350"/>
      <c r="F165" s="351"/>
      <c r="G165" s="351">
        <f ca="1">'11.0시중노임'!F6</f>
        <v>68965</v>
      </c>
      <c r="H165" s="351">
        <f t="shared" si="7"/>
        <v>6413</v>
      </c>
      <c r="I165" s="351"/>
      <c r="J165" s="351"/>
      <c r="K165" s="352"/>
    </row>
    <row r="166" spans="1:11" s="347" customFormat="1" ht="15.95" customHeight="1">
      <c r="A166" s="348" t="s">
        <v>956</v>
      </c>
      <c r="B166" s="349"/>
      <c r="C166" s="350"/>
      <c r="D166" s="349"/>
      <c r="E166" s="350"/>
      <c r="F166" s="351">
        <f>INT(SUM(F154:F165))</f>
        <v>18864</v>
      </c>
      <c r="G166" s="351"/>
      <c r="H166" s="351">
        <f>INT(SUM(H154:H165))</f>
        <v>21468</v>
      </c>
      <c r="I166" s="351"/>
      <c r="J166" s="351">
        <f>INT(SUM(J154:J165))</f>
        <v>6298</v>
      </c>
      <c r="K166" s="352">
        <f>INT(SUM(F166:J166))</f>
        <v>46630</v>
      </c>
    </row>
    <row r="167" spans="1:11" s="347" customFormat="1" ht="15.95" customHeight="1">
      <c r="A167" s="348" t="s">
        <v>960</v>
      </c>
      <c r="B167" s="349"/>
      <c r="C167" s="350"/>
      <c r="D167" s="349"/>
      <c r="E167" s="350"/>
      <c r="F167" s="351">
        <f>INT(F166+F152+F145+F139)</f>
        <v>23076</v>
      </c>
      <c r="G167" s="351"/>
      <c r="H167" s="351">
        <f>INT(H166+H152+H145+H139)</f>
        <v>28984</v>
      </c>
      <c r="I167" s="351"/>
      <c r="J167" s="351">
        <f>INT(J166+J152+J145+J139)</f>
        <v>6395</v>
      </c>
      <c r="K167" s="352">
        <f>INT(SUM(F167:J167))</f>
        <v>58455</v>
      </c>
    </row>
    <row r="168" spans="1:11" s="347" customFormat="1" ht="15.95" customHeight="1">
      <c r="A168" s="348" t="s">
        <v>1210</v>
      </c>
      <c r="B168" s="349" t="s">
        <v>1211</v>
      </c>
      <c r="C168" s="350"/>
      <c r="D168" s="349"/>
      <c r="E168" s="350"/>
      <c r="F168" s="350">
        <f>INT(F167*3%)</f>
        <v>692</v>
      </c>
      <c r="G168" s="350"/>
      <c r="H168" s="350"/>
      <c r="I168" s="350"/>
      <c r="J168" s="350"/>
      <c r="K168" s="352">
        <f>INT(SUM(F168:J168))</f>
        <v>692</v>
      </c>
    </row>
    <row r="169" spans="1:11" s="347" customFormat="1" ht="15.95" customHeight="1">
      <c r="A169" s="348" t="s">
        <v>1212</v>
      </c>
      <c r="B169" s="349" t="s">
        <v>1213</v>
      </c>
      <c r="C169" s="350"/>
      <c r="D169" s="349"/>
      <c r="E169" s="350"/>
      <c r="F169" s="350">
        <f>INT(H167*2%)</f>
        <v>579</v>
      </c>
      <c r="G169" s="350"/>
      <c r="H169" s="350"/>
      <c r="I169" s="350"/>
      <c r="J169" s="350"/>
      <c r="K169" s="352">
        <f>INT(SUM(F169:J169))</f>
        <v>579</v>
      </c>
    </row>
    <row r="170" spans="1:11" s="347" customFormat="1" ht="15.95" customHeight="1">
      <c r="A170" s="362"/>
      <c r="B170" s="356" t="s">
        <v>1214</v>
      </c>
      <c r="C170" s="356"/>
      <c r="D170" s="357"/>
      <c r="E170" s="356"/>
      <c r="F170" s="356"/>
      <c r="G170" s="356"/>
      <c r="H170" s="356"/>
      <c r="I170" s="356"/>
      <c r="J170" s="356"/>
      <c r="K170" s="359"/>
    </row>
    <row r="171" spans="1:11" s="347" customFormat="1" ht="15.95" customHeight="1">
      <c r="A171" s="363" t="s">
        <v>1215</v>
      </c>
      <c r="B171" s="364"/>
      <c r="C171" s="364"/>
      <c r="D171" s="365"/>
      <c r="E171" s="364"/>
      <c r="F171" s="366">
        <f>INT(SUM(F167:F169))</f>
        <v>24347</v>
      </c>
      <c r="G171" s="366"/>
      <c r="H171" s="366">
        <f>INT(SUM(H167:H169))</f>
        <v>28984</v>
      </c>
      <c r="I171" s="366"/>
      <c r="J171" s="366">
        <f>INT(SUM(J167:J169))</f>
        <v>6395</v>
      </c>
      <c r="K171" s="367">
        <f>INT(SUM(F171:J171))</f>
        <v>59726</v>
      </c>
    </row>
    <row r="172" spans="1:11" s="347" customFormat="1" ht="12.95" customHeight="1">
      <c r="A172" s="342"/>
      <c r="B172" s="342"/>
      <c r="C172" s="342"/>
      <c r="D172" s="368"/>
      <c r="E172" s="342"/>
      <c r="F172" s="342"/>
      <c r="G172" s="342"/>
      <c r="H172" s="342"/>
      <c r="I172" s="1798" t="s">
        <v>1216</v>
      </c>
      <c r="J172" s="1798"/>
      <c r="K172" s="1798"/>
    </row>
    <row r="173" spans="1:11" s="347" customFormat="1" ht="12.95" customHeight="1">
      <c r="A173" s="342"/>
      <c r="B173" s="342"/>
      <c r="C173" s="342"/>
      <c r="D173" s="368"/>
      <c r="E173" s="342"/>
      <c r="F173" s="342"/>
      <c r="G173" s="342"/>
      <c r="H173" s="342"/>
      <c r="I173" s="369"/>
      <c r="J173" s="342"/>
      <c r="K173" s="342"/>
    </row>
  </sheetData>
  <mergeCells count="36">
    <mergeCell ref="C19:H19"/>
    <mergeCell ref="E47:F47"/>
    <mergeCell ref="G47:H47"/>
    <mergeCell ref="E90:F90"/>
    <mergeCell ref="G90:H90"/>
    <mergeCell ref="A87:K87"/>
    <mergeCell ref="D90:D91"/>
    <mergeCell ref="A47:A48"/>
    <mergeCell ref="C133:C134"/>
    <mergeCell ref="D133:D134"/>
    <mergeCell ref="D47:D48"/>
    <mergeCell ref="K47:K48"/>
    <mergeCell ref="I129:K129"/>
    <mergeCell ref="I90:J90"/>
    <mergeCell ref="K90:K91"/>
    <mergeCell ref="A130:K130"/>
    <mergeCell ref="I172:K172"/>
    <mergeCell ref="D21:E21"/>
    <mergeCell ref="F21:G21"/>
    <mergeCell ref="F22:G22"/>
    <mergeCell ref="F23:G23"/>
    <mergeCell ref="F24:G24"/>
    <mergeCell ref="G86:K86"/>
    <mergeCell ref="E133:F133"/>
    <mergeCell ref="K133:K134"/>
    <mergeCell ref="I47:J47"/>
    <mergeCell ref="G133:H133"/>
    <mergeCell ref="I133:J133"/>
    <mergeCell ref="A44:K44"/>
    <mergeCell ref="A90:A91"/>
    <mergeCell ref="B90:B91"/>
    <mergeCell ref="C90:C91"/>
    <mergeCell ref="B47:B48"/>
    <mergeCell ref="C47:C48"/>
    <mergeCell ref="A133:A134"/>
    <mergeCell ref="B133:B134"/>
  </mergeCells>
  <phoneticPr fontId="3" type="noConversion"/>
  <pageMargins left="0.74803149606299213" right="0.74803149606299213" top="0.98425196850393704" bottom="0.98425196850393704" header="0.51181102362204722" footer="0.51181102362204722"/>
  <pageSetup paperSize="9" pageOrder="overThenDown" orientation="portrait" horizontalDpi="4294967295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>
  <dimension ref="A1:K188"/>
  <sheetViews>
    <sheetView topLeftCell="B1" zoomScale="75" zoomScaleNormal="75" zoomScaleSheetLayoutView="100" workbookViewId="0">
      <selection activeCell="P6" sqref="P6"/>
    </sheetView>
  </sheetViews>
  <sheetFormatPr defaultRowHeight="24.95" customHeight="1"/>
  <cols>
    <col min="1" max="1" width="16.44140625" style="415" bestFit="1" customWidth="1"/>
    <col min="2" max="2" width="17.6640625" style="347" bestFit="1" customWidth="1"/>
    <col min="3" max="3" width="7.21875" style="347" bestFit="1" customWidth="1"/>
    <col min="4" max="4" width="5" style="347" bestFit="1" customWidth="1"/>
    <col min="5" max="5" width="8.88671875" style="347" bestFit="1"/>
    <col min="6" max="6" width="9.88671875" style="347" bestFit="1" customWidth="1"/>
    <col min="7" max="7" width="8.88671875" style="347" bestFit="1"/>
    <col min="8" max="8" width="9.88671875" style="347" bestFit="1" customWidth="1"/>
    <col min="9" max="9" width="8.88671875" style="347" bestFit="1"/>
    <col min="10" max="10" width="9.88671875" style="347" bestFit="1" customWidth="1"/>
    <col min="11" max="11" width="9.33203125" style="347" bestFit="1" customWidth="1"/>
    <col min="12" max="16384" width="8.88671875" style="347"/>
  </cols>
  <sheetData>
    <row r="1" spans="4:4" customFormat="1" ht="13.5">
      <c r="D1" s="338"/>
    </row>
    <row r="2" spans="4:4" customFormat="1" ht="13.5">
      <c r="D2" s="338"/>
    </row>
    <row r="3" spans="4:4" customFormat="1" ht="13.5">
      <c r="D3" s="338"/>
    </row>
    <row r="4" spans="4:4" customFormat="1" ht="13.5">
      <c r="D4" s="338"/>
    </row>
    <row r="5" spans="4:4" customFormat="1" ht="13.5">
      <c r="D5" s="338"/>
    </row>
    <row r="6" spans="4:4" customFormat="1" ht="13.5">
      <c r="D6" s="338"/>
    </row>
    <row r="7" spans="4:4" customFormat="1" ht="13.5">
      <c r="D7" s="338"/>
    </row>
    <row r="8" spans="4:4" customFormat="1" ht="13.5">
      <c r="D8" s="338"/>
    </row>
    <row r="9" spans="4:4" customFormat="1" ht="13.5">
      <c r="D9" s="338"/>
    </row>
    <row r="10" spans="4:4" customFormat="1" ht="13.5">
      <c r="D10" s="338"/>
    </row>
    <row r="11" spans="4:4" customFormat="1" ht="13.5">
      <c r="D11" s="338"/>
    </row>
    <row r="12" spans="4:4" customFormat="1" ht="13.5">
      <c r="D12" s="338"/>
    </row>
    <row r="13" spans="4:4" customFormat="1" ht="13.5">
      <c r="D13" s="338"/>
    </row>
    <row r="14" spans="4:4" customFormat="1" ht="13.5">
      <c r="D14" s="338"/>
    </row>
    <row r="15" spans="4:4" customFormat="1" ht="13.5">
      <c r="D15" s="338"/>
    </row>
    <row r="16" spans="4:4" customFormat="1" ht="13.5">
      <c r="D16" s="338"/>
    </row>
    <row r="17" spans="3:8" customFormat="1" ht="13.5">
      <c r="D17" s="338"/>
    </row>
    <row r="18" spans="3:8" customFormat="1" ht="13.5">
      <c r="D18" s="338"/>
    </row>
    <row r="19" spans="3:8" s="339" customFormat="1" ht="30" customHeight="1">
      <c r="D19" s="387"/>
    </row>
    <row r="20" spans="3:8" customFormat="1" ht="13.5">
      <c r="D20" s="338"/>
    </row>
    <row r="21" spans="3:8" customFormat="1" ht="13.5">
      <c r="D21" s="338"/>
    </row>
    <row r="22" spans="3:8" s="339" customFormat="1" ht="30" customHeight="1">
      <c r="C22" s="1554"/>
      <c r="D22" s="1554"/>
      <c r="E22" s="1554"/>
      <c r="F22" s="1554"/>
      <c r="G22" s="1554"/>
      <c r="H22" s="1554"/>
    </row>
    <row r="23" spans="3:8" s="339" customFormat="1" ht="30" customHeight="1">
      <c r="D23" s="387"/>
    </row>
    <row r="24" spans="3:8" s="339" customFormat="1" ht="30" customHeight="1">
      <c r="C24" s="373" t="s">
        <v>276</v>
      </c>
      <c r="D24" s="1830" t="s">
        <v>752</v>
      </c>
      <c r="E24" s="1822"/>
      <c r="F24" s="311" t="s">
        <v>761</v>
      </c>
      <c r="G24" s="374" t="s">
        <v>762</v>
      </c>
      <c r="H24" s="436"/>
    </row>
    <row r="25" spans="3:8" s="339" customFormat="1" ht="30" customHeight="1">
      <c r="C25" s="370">
        <v>1</v>
      </c>
      <c r="D25" s="391" t="s">
        <v>753</v>
      </c>
      <c r="E25" s="438" t="s">
        <v>754</v>
      </c>
      <c r="F25" s="371">
        <f>A80</f>
        <v>7156</v>
      </c>
      <c r="G25" s="440"/>
      <c r="H25" s="437"/>
    </row>
    <row r="26" spans="3:8" s="339" customFormat="1" ht="30" customHeight="1">
      <c r="C26" s="370">
        <v>2</v>
      </c>
      <c r="D26" s="391" t="s">
        <v>753</v>
      </c>
      <c r="E26" s="438" t="s">
        <v>755</v>
      </c>
      <c r="F26" s="371">
        <f>A93</f>
        <v>11358</v>
      </c>
      <c r="G26" s="440"/>
      <c r="H26" s="437"/>
    </row>
    <row r="27" spans="3:8" s="339" customFormat="1" ht="30" customHeight="1">
      <c r="C27" s="370">
        <v>3</v>
      </c>
      <c r="D27" s="391" t="s">
        <v>753</v>
      </c>
      <c r="E27" s="438" t="s">
        <v>756</v>
      </c>
      <c r="F27" s="371">
        <f>A106</f>
        <v>17321</v>
      </c>
      <c r="G27" s="440"/>
      <c r="H27" s="437"/>
    </row>
    <row r="28" spans="3:8" s="339" customFormat="1" ht="30" customHeight="1">
      <c r="C28" s="370">
        <v>4</v>
      </c>
      <c r="D28" s="391" t="s">
        <v>757</v>
      </c>
      <c r="E28" s="438" t="s">
        <v>756</v>
      </c>
      <c r="F28" s="371">
        <f>A146</f>
        <v>40849</v>
      </c>
      <c r="G28" s="440"/>
      <c r="H28" s="437"/>
    </row>
    <row r="29" spans="3:8" s="339" customFormat="1" ht="30" customHeight="1">
      <c r="C29" s="315">
        <v>5</v>
      </c>
      <c r="D29" s="395" t="s">
        <v>757</v>
      </c>
      <c r="E29" s="439" t="s">
        <v>758</v>
      </c>
      <c r="F29" s="372">
        <f>A187</f>
        <v>50556</v>
      </c>
      <c r="G29" s="441"/>
      <c r="H29" s="437"/>
    </row>
    <row r="30" spans="3:8" customFormat="1" ht="13.5">
      <c r="D30" s="338"/>
    </row>
    <row r="31" spans="3:8" customFormat="1" ht="13.5">
      <c r="D31" s="338"/>
    </row>
    <row r="32" spans="3:8" customFormat="1" ht="13.5">
      <c r="D32" s="338"/>
    </row>
    <row r="33" spans="4:4" customFormat="1" ht="13.5">
      <c r="D33" s="338"/>
    </row>
    <row r="34" spans="4:4" customFormat="1" ht="13.5">
      <c r="D34" s="338"/>
    </row>
    <row r="35" spans="4:4" customFormat="1" ht="13.5">
      <c r="D35" s="338"/>
    </row>
    <row r="36" spans="4:4" customFormat="1" ht="13.5">
      <c r="D36" s="338"/>
    </row>
    <row r="37" spans="4:4" customFormat="1" ht="13.5">
      <c r="D37" s="338"/>
    </row>
    <row r="38" spans="4:4" customFormat="1" ht="13.5">
      <c r="D38" s="338"/>
    </row>
    <row r="39" spans="4:4" customFormat="1" ht="13.5">
      <c r="D39" s="338"/>
    </row>
    <row r="40" spans="4:4" customFormat="1" ht="13.5">
      <c r="D40" s="338"/>
    </row>
    <row r="41" spans="4:4" customFormat="1" ht="13.5">
      <c r="D41" s="338"/>
    </row>
    <row r="42" spans="4:4" customFormat="1" ht="13.5">
      <c r="D42" s="338"/>
    </row>
    <row r="43" spans="4:4" customFormat="1" ht="13.5">
      <c r="D43" s="338"/>
    </row>
    <row r="44" spans="4:4" customFormat="1" ht="13.5">
      <c r="D44" s="338"/>
    </row>
    <row r="45" spans="4:4" customFormat="1" ht="13.5">
      <c r="D45" s="338"/>
    </row>
    <row r="46" spans="4:4" customFormat="1" ht="13.5">
      <c r="D46" s="338"/>
    </row>
    <row r="47" spans="4:4" customFormat="1" ht="13.5">
      <c r="D47" s="338"/>
    </row>
    <row r="48" spans="4:4" customFormat="1" ht="13.5">
      <c r="D48" s="338"/>
    </row>
    <row r="49" spans="4:4" customFormat="1" ht="13.5">
      <c r="D49" s="338"/>
    </row>
    <row r="50" spans="4:4" customFormat="1" ht="13.5">
      <c r="D50" s="338"/>
    </row>
    <row r="51" spans="4:4" customFormat="1" ht="13.5">
      <c r="D51" s="338"/>
    </row>
    <row r="52" spans="4:4" customFormat="1" ht="13.5">
      <c r="D52" s="338"/>
    </row>
    <row r="53" spans="4:4" customFormat="1" ht="13.5">
      <c r="D53" s="338"/>
    </row>
    <row r="54" spans="4:4" customFormat="1" ht="13.5">
      <c r="D54" s="338"/>
    </row>
    <row r="55" spans="4:4" customFormat="1" ht="13.5">
      <c r="D55" s="338"/>
    </row>
    <row r="56" spans="4:4" customFormat="1" ht="13.5">
      <c r="D56" s="338"/>
    </row>
    <row r="57" spans="4:4" customFormat="1" ht="13.5">
      <c r="D57" s="338"/>
    </row>
    <row r="58" spans="4:4" customFormat="1" ht="13.5">
      <c r="D58" s="338"/>
    </row>
    <row r="59" spans="4:4" customFormat="1" ht="13.5">
      <c r="D59" s="338"/>
    </row>
    <row r="60" spans="4:4" customFormat="1" ht="13.5">
      <c r="D60" s="338"/>
    </row>
    <row r="61" spans="4:4" customFormat="1" ht="13.5">
      <c r="D61" s="338"/>
    </row>
    <row r="62" spans="4:4" customFormat="1" ht="13.5">
      <c r="D62" s="338"/>
    </row>
    <row r="63" spans="4:4" customFormat="1" ht="13.5">
      <c r="D63" s="338"/>
    </row>
    <row r="64" spans="4:4" customFormat="1" ht="13.5">
      <c r="D64" s="338"/>
    </row>
    <row r="65" spans="1:11" customFormat="1" ht="13.5">
      <c r="D65" s="338"/>
    </row>
    <row r="66" spans="1:11" ht="24.95" customHeight="1">
      <c r="A66" s="1885" t="s">
        <v>689</v>
      </c>
      <c r="B66" s="1878" t="s">
        <v>690</v>
      </c>
      <c r="C66" s="1878" t="s">
        <v>691</v>
      </c>
      <c r="D66" s="1878" t="s">
        <v>824</v>
      </c>
      <c r="E66" s="1878" t="s">
        <v>692</v>
      </c>
      <c r="F66" s="1878"/>
      <c r="G66" s="1878" t="s">
        <v>693</v>
      </c>
      <c r="H66" s="1878"/>
      <c r="I66" s="1878" t="s">
        <v>694</v>
      </c>
      <c r="J66" s="1878"/>
      <c r="K66" s="1888" t="s">
        <v>1075</v>
      </c>
    </row>
    <row r="67" spans="1:11" ht="24.95" customHeight="1">
      <c r="A67" s="1886"/>
      <c r="B67" s="1881"/>
      <c r="C67" s="1881"/>
      <c r="D67" s="1881"/>
      <c r="E67" s="417" t="s">
        <v>695</v>
      </c>
      <c r="F67" s="417" t="s">
        <v>696</v>
      </c>
      <c r="G67" s="417" t="s">
        <v>695</v>
      </c>
      <c r="H67" s="417" t="s">
        <v>696</v>
      </c>
      <c r="I67" s="417" t="s">
        <v>695</v>
      </c>
      <c r="J67" s="417" t="s">
        <v>696</v>
      </c>
      <c r="K67" s="1889"/>
    </row>
    <row r="68" spans="1:11" ht="24.95" customHeight="1">
      <c r="A68" s="1879" t="s">
        <v>697</v>
      </c>
      <c r="B68" s="1880"/>
      <c r="C68" s="1880"/>
      <c r="D68" s="1880"/>
      <c r="E68" s="1880"/>
      <c r="F68" s="1880"/>
      <c r="G68" s="1880"/>
      <c r="H68" s="1880"/>
      <c r="I68" s="1880"/>
      <c r="J68" s="1880"/>
      <c r="K68" s="1887"/>
    </row>
    <row r="69" spans="1:11" ht="24.95" customHeight="1">
      <c r="A69" s="416" t="s">
        <v>698</v>
      </c>
      <c r="B69" s="417" t="s">
        <v>699</v>
      </c>
      <c r="C69" s="418">
        <v>0.11</v>
      </c>
      <c r="D69" s="417" t="s">
        <v>700</v>
      </c>
      <c r="E69" s="419">
        <f ca="1">'8.0자재단가'!I29</f>
        <v>90000</v>
      </c>
      <c r="F69" s="420">
        <f>INT(C69*E69)</f>
        <v>9900</v>
      </c>
      <c r="G69" s="419"/>
      <c r="H69" s="419"/>
      <c r="I69" s="419"/>
      <c r="J69" s="419"/>
      <c r="K69" s="421"/>
    </row>
    <row r="70" spans="1:11" ht="24.95" customHeight="1">
      <c r="A70" s="416" t="s">
        <v>701</v>
      </c>
      <c r="B70" s="417" t="s">
        <v>702</v>
      </c>
      <c r="C70" s="418">
        <v>0.25</v>
      </c>
      <c r="D70" s="417" t="s">
        <v>703</v>
      </c>
      <c r="E70" s="419">
        <f ca="1">'8.0자재단가'!I30</f>
        <v>8000</v>
      </c>
      <c r="F70" s="420">
        <f>INT(C70*E70)</f>
        <v>2000</v>
      </c>
      <c r="G70" s="419"/>
      <c r="H70" s="419"/>
      <c r="I70" s="419"/>
      <c r="J70" s="419"/>
      <c r="K70" s="421"/>
    </row>
    <row r="71" spans="1:11" ht="24.95" customHeight="1">
      <c r="A71" s="416" t="s">
        <v>704</v>
      </c>
      <c r="B71" s="417" t="s">
        <v>705</v>
      </c>
      <c r="C71" s="418">
        <v>0.34</v>
      </c>
      <c r="D71" s="417" t="s">
        <v>680</v>
      </c>
      <c r="E71" s="419">
        <f ca="1">'9.0중기목록'!F42</f>
        <v>4431</v>
      </c>
      <c r="F71" s="420">
        <f ca="1">INT(C71*E71)</f>
        <v>1506</v>
      </c>
      <c r="G71" s="419">
        <f ca="1">'9.0중기목록'!E42</f>
        <v>14915</v>
      </c>
      <c r="H71" s="420">
        <f ca="1">INT(G71*C71)</f>
        <v>5071</v>
      </c>
      <c r="I71" s="419">
        <f ca="1">'9.0중기목록'!G42</f>
        <v>5226</v>
      </c>
      <c r="J71" s="420">
        <f>INT(I71*C71)</f>
        <v>1776</v>
      </c>
      <c r="K71" s="421"/>
    </row>
    <row r="72" spans="1:11" ht="24.95" customHeight="1">
      <c r="A72" s="416" t="s">
        <v>706</v>
      </c>
      <c r="B72" s="417" t="s">
        <v>707</v>
      </c>
      <c r="C72" s="422">
        <v>0.34</v>
      </c>
      <c r="D72" s="417" t="s">
        <v>680</v>
      </c>
      <c r="E72" s="419">
        <f ca="1">'9.0중기목록'!F44</f>
        <v>9565</v>
      </c>
      <c r="F72" s="420">
        <f ca="1">INT(C72*E72)</f>
        <v>3252</v>
      </c>
      <c r="G72" s="419"/>
      <c r="H72" s="419"/>
      <c r="I72" s="419">
        <f ca="1">'9.0중기목록'!G44</f>
        <v>1051</v>
      </c>
      <c r="J72" s="420">
        <f>INT(I72*C72)</f>
        <v>357</v>
      </c>
      <c r="K72" s="421"/>
    </row>
    <row r="73" spans="1:11" ht="24.95" customHeight="1">
      <c r="A73" s="416" t="s">
        <v>708</v>
      </c>
      <c r="B73" s="417" t="s">
        <v>709</v>
      </c>
      <c r="C73" s="422">
        <v>0.34</v>
      </c>
      <c r="D73" s="417" t="s">
        <v>680</v>
      </c>
      <c r="E73" s="419">
        <f ca="1">'9.0중기목록'!F14</f>
        <v>13117</v>
      </c>
      <c r="F73" s="420">
        <f ca="1">INT(C73*E73)</f>
        <v>4459</v>
      </c>
      <c r="G73" s="419">
        <f ca="1">'9.0중기목록'!E14</f>
        <v>17696</v>
      </c>
      <c r="H73" s="420">
        <f ca="1">INT(G73*C73)</f>
        <v>6016</v>
      </c>
      <c r="I73" s="419">
        <f ca="1">'9.0중기목록'!G14</f>
        <v>7823</v>
      </c>
      <c r="J73" s="420">
        <f>INT(I73*C73)</f>
        <v>2659</v>
      </c>
      <c r="K73" s="421"/>
    </row>
    <row r="74" spans="1:11" ht="24.95" customHeight="1">
      <c r="A74" s="416" t="s">
        <v>710</v>
      </c>
      <c r="B74" s="417" t="s">
        <v>711</v>
      </c>
      <c r="C74" s="422">
        <v>0.34</v>
      </c>
      <c r="D74" s="417" t="s">
        <v>680</v>
      </c>
      <c r="E74" s="419"/>
      <c r="F74" s="423"/>
      <c r="G74" s="419"/>
      <c r="H74" s="419"/>
      <c r="I74" s="419">
        <f ca="1">'9.0중기목록'!G46</f>
        <v>2129</v>
      </c>
      <c r="J74" s="420">
        <f>INT(I74*C74)</f>
        <v>723</v>
      </c>
      <c r="K74" s="421"/>
    </row>
    <row r="75" spans="1:11" ht="24.95" customHeight="1">
      <c r="A75" s="416" t="s">
        <v>712</v>
      </c>
      <c r="B75" s="417"/>
      <c r="C75" s="422">
        <v>0.17</v>
      </c>
      <c r="D75" s="417" t="s">
        <v>964</v>
      </c>
      <c r="E75" s="419"/>
      <c r="F75" s="423"/>
      <c r="G75" s="419">
        <f ca="1">'11.0시중노임'!F5</f>
        <v>84404</v>
      </c>
      <c r="H75" s="420">
        <f>INT(G75*C75)</f>
        <v>14348</v>
      </c>
      <c r="I75" s="419" t="s">
        <v>923</v>
      </c>
      <c r="J75" s="419"/>
      <c r="K75" s="421"/>
    </row>
    <row r="76" spans="1:11" ht="24.95" customHeight="1">
      <c r="A76" s="416" t="s">
        <v>713</v>
      </c>
      <c r="B76" s="417"/>
      <c r="C76" s="422">
        <v>0.05</v>
      </c>
      <c r="D76" s="417" t="s">
        <v>964</v>
      </c>
      <c r="E76" s="419"/>
      <c r="F76" s="423"/>
      <c r="G76" s="419">
        <f ca="1">'11.0시중노임'!F12</f>
        <v>86521</v>
      </c>
      <c r="H76" s="420">
        <f>INT(G76*C76)</f>
        <v>4326</v>
      </c>
      <c r="I76" s="419"/>
      <c r="J76" s="419"/>
      <c r="K76" s="421"/>
    </row>
    <row r="77" spans="1:11" ht="24.95" customHeight="1">
      <c r="A77" s="416" t="s">
        <v>714</v>
      </c>
      <c r="B77" s="417"/>
      <c r="C77" s="422">
        <v>0.22</v>
      </c>
      <c r="D77" s="417" t="s">
        <v>964</v>
      </c>
      <c r="E77" s="419"/>
      <c r="F77" s="423"/>
      <c r="G77" s="419">
        <f ca="1">'11.0시중노임'!F6</f>
        <v>68965</v>
      </c>
      <c r="H77" s="420">
        <f>INT(G77*C77)</f>
        <v>15172</v>
      </c>
      <c r="I77" s="419"/>
      <c r="J77" s="419"/>
      <c r="K77" s="421"/>
    </row>
    <row r="78" spans="1:11" ht="24.95" customHeight="1">
      <c r="A78" s="416"/>
      <c r="B78" s="417"/>
      <c r="C78" s="424"/>
      <c r="D78" s="417"/>
      <c r="E78" s="419"/>
      <c r="F78" s="419"/>
      <c r="G78" s="419"/>
      <c r="H78" s="419"/>
      <c r="I78" s="419"/>
      <c r="J78" s="419"/>
      <c r="K78" s="421"/>
    </row>
    <row r="79" spans="1:11" ht="24.95" customHeight="1">
      <c r="A79" s="416" t="s">
        <v>751</v>
      </c>
      <c r="B79" s="417"/>
      <c r="C79" s="425">
        <v>10</v>
      </c>
      <c r="D79" s="417" t="s">
        <v>716</v>
      </c>
      <c r="E79" s="419"/>
      <c r="F79" s="419">
        <f>INT(F69+F70+F71+F72+F73)</f>
        <v>21117</v>
      </c>
      <c r="G79" s="419"/>
      <c r="H79" s="419">
        <f>INT(H71+H73+H75+H76+H77)</f>
        <v>44933</v>
      </c>
      <c r="I79" s="419"/>
      <c r="J79" s="419">
        <f>INT(J71+J72+J73+J74)</f>
        <v>5515</v>
      </c>
      <c r="K79" s="421">
        <f>SUM(F79:J79)</f>
        <v>71565</v>
      </c>
    </row>
    <row r="80" spans="1:11" ht="24.95" customHeight="1">
      <c r="A80" s="1725">
        <f>INT(K79/10)</f>
        <v>7156</v>
      </c>
      <c r="B80" s="1726"/>
      <c r="C80" s="1726"/>
      <c r="D80" s="1726"/>
      <c r="E80" s="1726"/>
      <c r="F80" s="1726"/>
      <c r="G80" s="1726"/>
      <c r="H80" s="1726"/>
      <c r="I80" s="1726"/>
      <c r="J80" s="1726"/>
      <c r="K80" s="1727"/>
    </row>
    <row r="81" spans="1:11" ht="24.95" customHeight="1">
      <c r="A81" s="1882" t="s">
        <v>717</v>
      </c>
      <c r="B81" s="1883"/>
      <c r="C81" s="1883"/>
      <c r="D81" s="1883"/>
      <c r="E81" s="1883"/>
      <c r="F81" s="1883"/>
      <c r="G81" s="1883"/>
      <c r="H81" s="1883"/>
      <c r="I81" s="1883"/>
      <c r="J81" s="1883"/>
      <c r="K81" s="1884"/>
    </row>
    <row r="82" spans="1:11" ht="24.95" customHeight="1">
      <c r="A82" s="416" t="s">
        <v>698</v>
      </c>
      <c r="B82" s="417" t="s">
        <v>699</v>
      </c>
      <c r="C82" s="418">
        <v>0.22</v>
      </c>
      <c r="D82" s="417" t="s">
        <v>700</v>
      </c>
      <c r="E82" s="419">
        <f ca="1">'8.0자재단가'!I29</f>
        <v>90000</v>
      </c>
      <c r="F82" s="420">
        <f>INT(C82*E82)</f>
        <v>19800</v>
      </c>
      <c r="G82" s="419"/>
      <c r="H82" s="419"/>
      <c r="I82" s="419"/>
      <c r="J82" s="419"/>
      <c r="K82" s="421"/>
    </row>
    <row r="83" spans="1:11" ht="24.95" customHeight="1">
      <c r="A83" s="416" t="s">
        <v>701</v>
      </c>
      <c r="B83" s="417" t="s">
        <v>702</v>
      </c>
      <c r="C83" s="418">
        <v>0.25</v>
      </c>
      <c r="D83" s="417" t="s">
        <v>703</v>
      </c>
      <c r="E83" s="419">
        <f ca="1">'8.0자재단가'!I30</f>
        <v>8000</v>
      </c>
      <c r="F83" s="420">
        <f>INT(C83*E83)</f>
        <v>2000</v>
      </c>
      <c r="G83" s="419"/>
      <c r="H83" s="419"/>
      <c r="I83" s="419"/>
      <c r="J83" s="419"/>
      <c r="K83" s="421"/>
    </row>
    <row r="84" spans="1:11" ht="24.95" customHeight="1">
      <c r="A84" s="416" t="s">
        <v>704</v>
      </c>
      <c r="B84" s="417" t="s">
        <v>705</v>
      </c>
      <c r="C84" s="418">
        <v>0.52</v>
      </c>
      <c r="D84" s="417" t="s">
        <v>680</v>
      </c>
      <c r="E84" s="419">
        <f>E71</f>
        <v>4431</v>
      </c>
      <c r="F84" s="420">
        <f>INT(C84*E84)</f>
        <v>2304</v>
      </c>
      <c r="G84" s="419">
        <f>G71</f>
        <v>14915</v>
      </c>
      <c r="H84" s="420">
        <f>INT(G84*C84)</f>
        <v>7755</v>
      </c>
      <c r="I84" s="419">
        <f>I71</f>
        <v>5226</v>
      </c>
      <c r="J84" s="420">
        <f>INT(I84*C84)</f>
        <v>2717</v>
      </c>
      <c r="K84" s="421"/>
    </row>
    <row r="85" spans="1:11" ht="24.95" customHeight="1">
      <c r="A85" s="416" t="s">
        <v>706</v>
      </c>
      <c r="B85" s="417" t="s">
        <v>707</v>
      </c>
      <c r="C85" s="422">
        <v>0.52</v>
      </c>
      <c r="D85" s="417" t="s">
        <v>680</v>
      </c>
      <c r="E85" s="419">
        <f>E72</f>
        <v>9565</v>
      </c>
      <c r="F85" s="420">
        <f>INT(C85*E85)</f>
        <v>4973</v>
      </c>
      <c r="G85" s="419">
        <f>G72</f>
        <v>0</v>
      </c>
      <c r="H85" s="419"/>
      <c r="I85" s="419">
        <f>I72</f>
        <v>1051</v>
      </c>
      <c r="J85" s="420">
        <f>INT(I85*C85)</f>
        <v>546</v>
      </c>
      <c r="K85" s="421"/>
    </row>
    <row r="86" spans="1:11" ht="24.95" customHeight="1">
      <c r="A86" s="416" t="s">
        <v>708</v>
      </c>
      <c r="B86" s="417" t="s">
        <v>709</v>
      </c>
      <c r="C86" s="422">
        <v>0.52</v>
      </c>
      <c r="D86" s="417" t="s">
        <v>680</v>
      </c>
      <c r="E86" s="419">
        <f>E73</f>
        <v>13117</v>
      </c>
      <c r="F86" s="420">
        <f>INT(C86*E86)</f>
        <v>6820</v>
      </c>
      <c r="G86" s="419">
        <f>G73</f>
        <v>17696</v>
      </c>
      <c r="H86" s="420">
        <f>INT(G86*C86)</f>
        <v>9201</v>
      </c>
      <c r="I86" s="419">
        <f>I73</f>
        <v>7823</v>
      </c>
      <c r="J86" s="420">
        <f>INT(I86*C86)</f>
        <v>4067</v>
      </c>
      <c r="K86" s="421"/>
    </row>
    <row r="87" spans="1:11" ht="24.95" customHeight="1">
      <c r="A87" s="416" t="s">
        <v>710</v>
      </c>
      <c r="B87" s="417" t="s">
        <v>711</v>
      </c>
      <c r="C87" s="422">
        <v>0.52</v>
      </c>
      <c r="D87" s="417" t="s">
        <v>680</v>
      </c>
      <c r="E87" s="419"/>
      <c r="F87" s="423"/>
      <c r="G87" s="419"/>
      <c r="H87" s="419"/>
      <c r="I87" s="419">
        <f>I74</f>
        <v>2129</v>
      </c>
      <c r="J87" s="420">
        <f>INT(I87*C87)</f>
        <v>1107</v>
      </c>
      <c r="K87" s="421"/>
    </row>
    <row r="88" spans="1:11" ht="24.95" customHeight="1">
      <c r="A88" s="416" t="s">
        <v>712</v>
      </c>
      <c r="B88" s="417"/>
      <c r="C88" s="422">
        <v>0.27</v>
      </c>
      <c r="D88" s="417" t="s">
        <v>964</v>
      </c>
      <c r="E88" s="419"/>
      <c r="F88" s="423"/>
      <c r="G88" s="419">
        <f>G75</f>
        <v>84404</v>
      </c>
      <c r="H88" s="420">
        <f>INT(G88*C88)</f>
        <v>22789</v>
      </c>
      <c r="I88" s="419" t="s">
        <v>923</v>
      </c>
      <c r="J88" s="419"/>
      <c r="K88" s="421"/>
    </row>
    <row r="89" spans="1:11" ht="24.95" customHeight="1">
      <c r="A89" s="416" t="s">
        <v>713</v>
      </c>
      <c r="B89" s="417"/>
      <c r="C89" s="422">
        <v>7.0000000000000007E-2</v>
      </c>
      <c r="D89" s="417" t="s">
        <v>964</v>
      </c>
      <c r="E89" s="419"/>
      <c r="F89" s="423"/>
      <c r="G89" s="419">
        <f>G76</f>
        <v>86521</v>
      </c>
      <c r="H89" s="420">
        <f>INT(G89*C89)</f>
        <v>6056</v>
      </c>
      <c r="I89" s="419"/>
      <c r="J89" s="419"/>
      <c r="K89" s="421"/>
    </row>
    <row r="90" spans="1:11" ht="24.95" customHeight="1">
      <c r="A90" s="416" t="s">
        <v>714</v>
      </c>
      <c r="B90" s="417"/>
      <c r="C90" s="422">
        <v>0.34</v>
      </c>
      <c r="D90" s="417" t="s">
        <v>964</v>
      </c>
      <c r="E90" s="419"/>
      <c r="F90" s="423"/>
      <c r="G90" s="419">
        <f>G77</f>
        <v>68965</v>
      </c>
      <c r="H90" s="420">
        <f>INT(G90*C90)</f>
        <v>23448</v>
      </c>
      <c r="I90" s="419"/>
      <c r="J90" s="419"/>
      <c r="K90" s="421"/>
    </row>
    <row r="91" spans="1:11" ht="24.95" customHeight="1">
      <c r="A91" s="416"/>
      <c r="B91" s="417"/>
      <c r="C91" s="424"/>
      <c r="D91" s="417"/>
      <c r="E91" s="419"/>
      <c r="F91" s="419"/>
      <c r="G91" s="419"/>
      <c r="H91" s="419"/>
      <c r="I91" s="419"/>
      <c r="J91" s="419"/>
      <c r="K91" s="421"/>
    </row>
    <row r="92" spans="1:11" ht="24.95" customHeight="1">
      <c r="A92" s="416" t="s">
        <v>715</v>
      </c>
      <c r="B92" s="417"/>
      <c r="C92" s="425">
        <v>10</v>
      </c>
      <c r="D92" s="417" t="s">
        <v>716</v>
      </c>
      <c r="E92" s="419"/>
      <c r="F92" s="419">
        <f>INT(F82+F83+F84+F85+F86)</f>
        <v>35897</v>
      </c>
      <c r="G92" s="419"/>
      <c r="H92" s="419">
        <f>INT(H84+H86+H88+H89+H90)</f>
        <v>69249</v>
      </c>
      <c r="I92" s="419"/>
      <c r="J92" s="419">
        <f>INT(J84+J85+J86+J87)</f>
        <v>8437</v>
      </c>
      <c r="K92" s="421">
        <f>SUM(F92:J92)</f>
        <v>113583</v>
      </c>
    </row>
    <row r="93" spans="1:11" ht="24.95" customHeight="1">
      <c r="A93" s="1725">
        <f>INT(K92/10)</f>
        <v>11358</v>
      </c>
      <c r="B93" s="1726"/>
      <c r="C93" s="1726"/>
      <c r="D93" s="1726"/>
      <c r="E93" s="1726"/>
      <c r="F93" s="1726"/>
      <c r="G93" s="1726"/>
      <c r="H93" s="1726"/>
      <c r="I93" s="1726"/>
      <c r="J93" s="1726"/>
      <c r="K93" s="1727"/>
    </row>
    <row r="94" spans="1:11" ht="24.95" customHeight="1">
      <c r="A94" s="1882" t="s">
        <v>718</v>
      </c>
      <c r="B94" s="1883"/>
      <c r="C94" s="1883"/>
      <c r="D94" s="1883"/>
      <c r="E94" s="1883"/>
      <c r="F94" s="1883"/>
      <c r="G94" s="1883"/>
      <c r="H94" s="1883"/>
      <c r="I94" s="1883"/>
      <c r="J94" s="1883"/>
      <c r="K94" s="1884"/>
    </row>
    <row r="95" spans="1:11" ht="24.95" customHeight="1">
      <c r="A95" s="416" t="s">
        <v>698</v>
      </c>
      <c r="B95" s="417" t="s">
        <v>699</v>
      </c>
      <c r="C95" s="418">
        <v>0.33</v>
      </c>
      <c r="D95" s="417" t="s">
        <v>700</v>
      </c>
      <c r="E95" s="419">
        <f ca="1">'8.0자재단가'!I29</f>
        <v>90000</v>
      </c>
      <c r="F95" s="420">
        <f>INT(C95*E95)</f>
        <v>29700</v>
      </c>
      <c r="G95" s="419"/>
      <c r="H95" s="419"/>
      <c r="I95" s="419"/>
      <c r="J95" s="419"/>
      <c r="K95" s="421"/>
    </row>
    <row r="96" spans="1:11" ht="24.95" customHeight="1">
      <c r="A96" s="416" t="s">
        <v>701</v>
      </c>
      <c r="B96" s="417" t="s">
        <v>702</v>
      </c>
      <c r="C96" s="418">
        <v>0.25</v>
      </c>
      <c r="D96" s="417" t="s">
        <v>703</v>
      </c>
      <c r="E96" s="419">
        <f ca="1">'8.0자재단가'!I30</f>
        <v>8000</v>
      </c>
      <c r="F96" s="420">
        <f>INT(C96*E96)</f>
        <v>2000</v>
      </c>
      <c r="G96" s="419"/>
      <c r="H96" s="419"/>
      <c r="I96" s="419"/>
      <c r="J96" s="419"/>
      <c r="K96" s="421"/>
    </row>
    <row r="97" spans="1:11" ht="24.95" customHeight="1">
      <c r="A97" s="416" t="s">
        <v>704</v>
      </c>
      <c r="B97" s="417" t="s">
        <v>705</v>
      </c>
      <c r="C97" s="418">
        <v>0.76</v>
      </c>
      <c r="D97" s="417" t="s">
        <v>680</v>
      </c>
      <c r="E97" s="419">
        <f>E84</f>
        <v>4431</v>
      </c>
      <c r="F97" s="420">
        <f>INT(C97*E97)</f>
        <v>3367</v>
      </c>
      <c r="G97" s="419">
        <f>G84</f>
        <v>14915</v>
      </c>
      <c r="H97" s="420">
        <f>INT(G97*C97)</f>
        <v>11335</v>
      </c>
      <c r="I97" s="419">
        <f>I84</f>
        <v>5226</v>
      </c>
      <c r="J97" s="420">
        <f>INT(I97*C97)</f>
        <v>3971</v>
      </c>
      <c r="K97" s="421"/>
    </row>
    <row r="98" spans="1:11" ht="24.95" customHeight="1">
      <c r="A98" s="416" t="s">
        <v>706</v>
      </c>
      <c r="B98" s="417" t="s">
        <v>707</v>
      </c>
      <c r="C98" s="422">
        <v>0.76</v>
      </c>
      <c r="D98" s="417" t="s">
        <v>680</v>
      </c>
      <c r="E98" s="419">
        <f>E85</f>
        <v>9565</v>
      </c>
      <c r="F98" s="420">
        <f>INT(C98*E98)</f>
        <v>7269</v>
      </c>
      <c r="G98" s="419">
        <f>G85</f>
        <v>0</v>
      </c>
      <c r="H98" s="419"/>
      <c r="I98" s="419">
        <f>I85</f>
        <v>1051</v>
      </c>
      <c r="J98" s="420">
        <f>INT(I98*C98)</f>
        <v>798</v>
      </c>
      <c r="K98" s="421"/>
    </row>
    <row r="99" spans="1:11" ht="24.95" customHeight="1">
      <c r="A99" s="416" t="s">
        <v>708</v>
      </c>
      <c r="B99" s="417" t="s">
        <v>709</v>
      </c>
      <c r="C99" s="422">
        <v>0.76</v>
      </c>
      <c r="D99" s="417" t="s">
        <v>680</v>
      </c>
      <c r="E99" s="419">
        <f>E86</f>
        <v>13117</v>
      </c>
      <c r="F99" s="420">
        <f>INT(C99*E99)</f>
        <v>9968</v>
      </c>
      <c r="G99" s="419">
        <f>G86</f>
        <v>17696</v>
      </c>
      <c r="H99" s="420">
        <f>INT(G99*C99)</f>
        <v>13448</v>
      </c>
      <c r="I99" s="419">
        <f>I86</f>
        <v>7823</v>
      </c>
      <c r="J99" s="420">
        <f>INT(I99*C99)</f>
        <v>5945</v>
      </c>
      <c r="K99" s="421"/>
    </row>
    <row r="100" spans="1:11" ht="24.95" customHeight="1">
      <c r="A100" s="416" t="s">
        <v>710</v>
      </c>
      <c r="B100" s="417" t="s">
        <v>719</v>
      </c>
      <c r="C100" s="422">
        <v>0.76</v>
      </c>
      <c r="D100" s="417" t="s">
        <v>680</v>
      </c>
      <c r="E100" s="419"/>
      <c r="F100" s="423"/>
      <c r="G100" s="419"/>
      <c r="H100" s="419"/>
      <c r="I100" s="419">
        <f>I87</f>
        <v>2129</v>
      </c>
      <c r="J100" s="420">
        <f>INT(I100*C100)</f>
        <v>1618</v>
      </c>
      <c r="K100" s="421"/>
    </row>
    <row r="101" spans="1:11" ht="24.95" customHeight="1">
      <c r="A101" s="416" t="s">
        <v>712</v>
      </c>
      <c r="B101" s="417"/>
      <c r="C101" s="426">
        <v>0.4</v>
      </c>
      <c r="D101" s="417" t="s">
        <v>964</v>
      </c>
      <c r="E101" s="419"/>
      <c r="F101" s="423"/>
      <c r="G101" s="419">
        <f>G75</f>
        <v>84404</v>
      </c>
      <c r="H101" s="420">
        <f>INT(G101*C101)</f>
        <v>33761</v>
      </c>
      <c r="I101" s="419" t="s">
        <v>923</v>
      </c>
      <c r="J101" s="419"/>
      <c r="K101" s="421"/>
    </row>
    <row r="102" spans="1:11" ht="24.95" customHeight="1">
      <c r="A102" s="416" t="s">
        <v>713</v>
      </c>
      <c r="B102" s="417"/>
      <c r="C102" s="426">
        <v>0.1</v>
      </c>
      <c r="D102" s="417" t="s">
        <v>964</v>
      </c>
      <c r="E102" s="419"/>
      <c r="F102" s="423"/>
      <c r="G102" s="419">
        <f>G76</f>
        <v>86521</v>
      </c>
      <c r="H102" s="420">
        <f>INT(G102*C102)</f>
        <v>8652</v>
      </c>
      <c r="I102" s="419"/>
      <c r="J102" s="419"/>
      <c r="K102" s="421"/>
    </row>
    <row r="103" spans="1:11" ht="24.95" customHeight="1">
      <c r="A103" s="416" t="s">
        <v>714</v>
      </c>
      <c r="B103" s="417"/>
      <c r="C103" s="426">
        <v>0.6</v>
      </c>
      <c r="D103" s="417" t="s">
        <v>964</v>
      </c>
      <c r="E103" s="419"/>
      <c r="F103" s="423"/>
      <c r="G103" s="419">
        <f>G77</f>
        <v>68965</v>
      </c>
      <c r="H103" s="420">
        <f>INT(G103*C103)</f>
        <v>41379</v>
      </c>
      <c r="I103" s="419"/>
      <c r="J103" s="419"/>
      <c r="K103" s="421"/>
    </row>
    <row r="104" spans="1:11" ht="24.95" customHeight="1">
      <c r="A104" s="416"/>
      <c r="B104" s="417"/>
      <c r="C104" s="424"/>
      <c r="D104" s="417"/>
      <c r="E104" s="419"/>
      <c r="F104" s="419"/>
      <c r="G104" s="419"/>
      <c r="H104" s="419"/>
      <c r="I104" s="419"/>
      <c r="J104" s="419"/>
      <c r="K104" s="421"/>
    </row>
    <row r="105" spans="1:11" ht="24.95" customHeight="1">
      <c r="A105" s="416" t="s">
        <v>715</v>
      </c>
      <c r="B105" s="417"/>
      <c r="C105" s="424"/>
      <c r="D105" s="417"/>
      <c r="E105" s="419"/>
      <c r="F105" s="419">
        <f>INT(F95+F96+F97+F98+F99)</f>
        <v>52304</v>
      </c>
      <c r="G105" s="419"/>
      <c r="H105" s="419">
        <f>INT(H97+H99+H101+H102+H103)</f>
        <v>108575</v>
      </c>
      <c r="I105" s="419"/>
      <c r="J105" s="419">
        <f>INT(J97+J98+J99+J100)</f>
        <v>12332</v>
      </c>
      <c r="K105" s="421">
        <f>SUM(F105:J105)</f>
        <v>173211</v>
      </c>
    </row>
    <row r="106" spans="1:11" ht="24.95" customHeight="1">
      <c r="A106" s="1890">
        <f>INT(K105/10)</f>
        <v>17321</v>
      </c>
      <c r="B106" s="1891"/>
      <c r="C106" s="1891"/>
      <c r="D106" s="1891"/>
      <c r="E106" s="1891"/>
      <c r="F106" s="1891"/>
      <c r="G106" s="1891"/>
      <c r="H106" s="1891"/>
      <c r="I106" s="1891"/>
      <c r="J106" s="1891"/>
      <c r="K106" s="1892"/>
    </row>
    <row r="107" spans="1:11" ht="24.95" customHeight="1">
      <c r="A107" s="1885" t="s">
        <v>689</v>
      </c>
      <c r="B107" s="1878" t="s">
        <v>690</v>
      </c>
      <c r="C107" s="1878" t="s">
        <v>691</v>
      </c>
      <c r="D107" s="1878" t="s">
        <v>824</v>
      </c>
      <c r="E107" s="1878" t="s">
        <v>692</v>
      </c>
      <c r="F107" s="1878"/>
      <c r="G107" s="1878" t="s">
        <v>693</v>
      </c>
      <c r="H107" s="1878"/>
      <c r="I107" s="1878" t="s">
        <v>694</v>
      </c>
      <c r="J107" s="1878"/>
      <c r="K107" s="1888" t="s">
        <v>1075</v>
      </c>
    </row>
    <row r="108" spans="1:11" ht="24.95" customHeight="1">
      <c r="A108" s="1886"/>
      <c r="B108" s="1881"/>
      <c r="C108" s="1881"/>
      <c r="D108" s="1881"/>
      <c r="E108" s="417" t="s">
        <v>695</v>
      </c>
      <c r="F108" s="417" t="s">
        <v>696</v>
      </c>
      <c r="G108" s="417" t="s">
        <v>695</v>
      </c>
      <c r="H108" s="417" t="s">
        <v>696</v>
      </c>
      <c r="I108" s="417" t="s">
        <v>695</v>
      </c>
      <c r="J108" s="417" t="s">
        <v>696</v>
      </c>
      <c r="K108" s="1889"/>
    </row>
    <row r="109" spans="1:11" ht="24.95" customHeight="1">
      <c r="A109" s="1879" t="s">
        <v>720</v>
      </c>
      <c r="B109" s="1880"/>
      <c r="C109" s="1880"/>
      <c r="D109" s="1880"/>
      <c r="E109" s="1880"/>
      <c r="F109" s="1880"/>
      <c r="G109" s="1880"/>
      <c r="H109" s="1880"/>
      <c r="I109" s="1880"/>
      <c r="J109" s="1880"/>
      <c r="K109" s="1887"/>
    </row>
    <row r="110" spans="1:11" ht="24.95" customHeight="1">
      <c r="A110" s="1879" t="s">
        <v>721</v>
      </c>
      <c r="B110" s="1880"/>
      <c r="C110" s="418"/>
      <c r="D110" s="417"/>
      <c r="E110" s="419"/>
      <c r="F110" s="423"/>
      <c r="G110" s="419"/>
      <c r="H110" s="419"/>
      <c r="I110" s="419"/>
      <c r="J110" s="419"/>
      <c r="K110" s="421"/>
    </row>
    <row r="111" spans="1:11" ht="24.95" customHeight="1">
      <c r="A111" s="416" t="s">
        <v>722</v>
      </c>
      <c r="B111" s="417" t="s">
        <v>723</v>
      </c>
      <c r="C111" s="418">
        <v>1.1399999999999999</v>
      </c>
      <c r="D111" s="417" t="s">
        <v>680</v>
      </c>
      <c r="E111" s="427">
        <f ca="1">'9.0중기목록'!F34</f>
        <v>11704</v>
      </c>
      <c r="F111" s="420">
        <f ca="1">INT(C111*E111)</f>
        <v>13342</v>
      </c>
      <c r="G111" s="419">
        <f ca="1">'9.0중기목록'!E34</f>
        <v>14915</v>
      </c>
      <c r="H111" s="420">
        <f ca="1">INT(G111*C111)</f>
        <v>17003</v>
      </c>
      <c r="I111" s="419">
        <f ca="1">'9.0중기목록'!G34</f>
        <v>3752</v>
      </c>
      <c r="J111" s="420">
        <f>INT(I111*C111)</f>
        <v>4277</v>
      </c>
      <c r="K111" s="421"/>
    </row>
    <row r="112" spans="1:11" ht="24.95" customHeight="1">
      <c r="A112" s="416" t="s">
        <v>724</v>
      </c>
      <c r="B112" s="417" t="s">
        <v>725</v>
      </c>
      <c r="C112" s="428">
        <v>1</v>
      </c>
      <c r="D112" s="417" t="s">
        <v>726</v>
      </c>
      <c r="E112" s="419"/>
      <c r="F112" s="420">
        <f>INT(H115*0.025)</f>
        <v>2107</v>
      </c>
      <c r="G112" s="419"/>
      <c r="H112" s="423"/>
      <c r="I112" s="419"/>
      <c r="J112" s="423"/>
      <c r="K112" s="421"/>
    </row>
    <row r="113" spans="1:11" ht="24.95" customHeight="1">
      <c r="A113" s="416" t="s">
        <v>727</v>
      </c>
      <c r="B113" s="417"/>
      <c r="C113" s="422">
        <v>0.43</v>
      </c>
      <c r="D113" s="417" t="s">
        <v>964</v>
      </c>
      <c r="E113" s="419"/>
      <c r="F113" s="423"/>
      <c r="G113" s="419">
        <f ca="1">'11.0시중노임'!F3</f>
        <v>79533</v>
      </c>
      <c r="H113" s="420">
        <f>INT(G113*C113)</f>
        <v>34199</v>
      </c>
      <c r="I113" s="419"/>
      <c r="J113" s="423"/>
      <c r="K113" s="421"/>
    </row>
    <row r="114" spans="1:11" ht="24.95" customHeight="1">
      <c r="A114" s="416" t="s">
        <v>728</v>
      </c>
      <c r="B114" s="417"/>
      <c r="C114" s="422">
        <v>0.48</v>
      </c>
      <c r="D114" s="417" t="s">
        <v>964</v>
      </c>
      <c r="E114" s="419"/>
      <c r="F114" s="423"/>
      <c r="G114" s="419">
        <f ca="1">'11.0시중노임'!F6</f>
        <v>68965</v>
      </c>
      <c r="H114" s="420">
        <f>INT(G114*C114)</f>
        <v>33103</v>
      </c>
      <c r="I114" s="419"/>
      <c r="J114" s="423"/>
      <c r="K114" s="421"/>
    </row>
    <row r="115" spans="1:11" ht="24.95" customHeight="1">
      <c r="A115" s="416" t="s">
        <v>715</v>
      </c>
      <c r="B115" s="417"/>
      <c r="C115" s="422"/>
      <c r="D115" s="417"/>
      <c r="E115" s="419"/>
      <c r="F115" s="419">
        <f>INT(F111+F112)</f>
        <v>15449</v>
      </c>
      <c r="G115" s="419"/>
      <c r="H115" s="419">
        <f>INT(H111+H113+H114)</f>
        <v>84305</v>
      </c>
      <c r="I115" s="419"/>
      <c r="J115" s="419">
        <f>INT(J111+J112)</f>
        <v>4277</v>
      </c>
      <c r="K115" s="421">
        <f>SUM(F115:J115)</f>
        <v>104031</v>
      </c>
    </row>
    <row r="116" spans="1:11" ht="24.95" customHeight="1">
      <c r="A116" s="416"/>
      <c r="B116" s="417"/>
      <c r="C116" s="422"/>
      <c r="D116" s="417"/>
      <c r="E116" s="419"/>
      <c r="F116" s="423"/>
      <c r="G116" s="419"/>
      <c r="H116" s="423"/>
      <c r="I116" s="419"/>
      <c r="J116" s="419"/>
      <c r="K116" s="421"/>
    </row>
    <row r="117" spans="1:11" ht="24.95" customHeight="1">
      <c r="A117" s="1879" t="s">
        <v>729</v>
      </c>
      <c r="B117" s="1880"/>
      <c r="C117" s="422"/>
      <c r="D117" s="417"/>
      <c r="E117" s="419"/>
      <c r="F117" s="423"/>
      <c r="G117" s="419"/>
      <c r="H117" s="423"/>
      <c r="I117" s="419"/>
      <c r="J117" s="419"/>
      <c r="K117" s="421"/>
    </row>
    <row r="118" spans="1:11" ht="24.95" customHeight="1">
      <c r="A118" s="416" t="s">
        <v>730</v>
      </c>
      <c r="B118" s="417" t="s">
        <v>731</v>
      </c>
      <c r="C118" s="426">
        <v>1.2</v>
      </c>
      <c r="D118" s="417" t="s">
        <v>732</v>
      </c>
      <c r="E118" s="419">
        <f ca="1">'8.0자재단가'!I31</f>
        <v>1200</v>
      </c>
      <c r="F118" s="420">
        <f>INT(C118*E118)</f>
        <v>1440</v>
      </c>
      <c r="G118" s="419"/>
      <c r="H118" s="423"/>
      <c r="I118" s="419"/>
      <c r="J118" s="419"/>
      <c r="K118" s="421"/>
    </row>
    <row r="119" spans="1:11" ht="24.95" customHeight="1">
      <c r="A119" s="416" t="s">
        <v>733</v>
      </c>
      <c r="B119" s="417" t="s">
        <v>734</v>
      </c>
      <c r="C119" s="426">
        <v>11</v>
      </c>
      <c r="D119" s="417" t="s">
        <v>732</v>
      </c>
      <c r="E119" s="419">
        <f ca="1">'8.0자재단가'!I32</f>
        <v>900</v>
      </c>
      <c r="F119" s="420">
        <f>INT(C119*E119)</f>
        <v>9900</v>
      </c>
      <c r="G119" s="419"/>
      <c r="H119" s="423"/>
      <c r="I119" s="419"/>
      <c r="J119" s="419"/>
      <c r="K119" s="421"/>
    </row>
    <row r="120" spans="1:11" ht="24.95" customHeight="1">
      <c r="A120" s="416" t="s">
        <v>735</v>
      </c>
      <c r="B120" s="417"/>
      <c r="C120" s="422">
        <v>0.14000000000000001</v>
      </c>
      <c r="D120" s="417" t="s">
        <v>964</v>
      </c>
      <c r="E120" s="419"/>
      <c r="F120" s="419"/>
      <c r="G120" s="419">
        <f ca="1">'11.0시중노임'!F5</f>
        <v>84404</v>
      </c>
      <c r="H120" s="420">
        <f>INT(G120*C120)</f>
        <v>11816</v>
      </c>
      <c r="I120" s="419"/>
      <c r="J120" s="419"/>
      <c r="K120" s="421"/>
    </row>
    <row r="121" spans="1:11" ht="24.95" customHeight="1">
      <c r="A121" s="416" t="s">
        <v>728</v>
      </c>
      <c r="B121" s="417"/>
      <c r="C121" s="422">
        <v>0.48</v>
      </c>
      <c r="D121" s="417" t="s">
        <v>964</v>
      </c>
      <c r="E121" s="419"/>
      <c r="F121" s="419"/>
      <c r="G121" s="419">
        <f ca="1">'11.0시중노임'!F6</f>
        <v>68965</v>
      </c>
      <c r="H121" s="420">
        <f>INT(G121*C121)</f>
        <v>33103</v>
      </c>
      <c r="I121" s="419"/>
      <c r="J121" s="419"/>
      <c r="K121" s="421"/>
    </row>
    <row r="122" spans="1:11" ht="24.95" customHeight="1">
      <c r="A122" s="416" t="s">
        <v>715</v>
      </c>
      <c r="B122" s="417"/>
      <c r="C122" s="424"/>
      <c r="D122" s="417"/>
      <c r="E122" s="419"/>
      <c r="F122" s="419">
        <f>INT(F118+F119)</f>
        <v>11340</v>
      </c>
      <c r="G122" s="419"/>
      <c r="H122" s="419">
        <f>INT(H118+H120+H121)</f>
        <v>44919</v>
      </c>
      <c r="I122" s="419"/>
      <c r="J122" s="419"/>
      <c r="K122" s="421">
        <f>SUM(F122:J122)</f>
        <v>56259</v>
      </c>
    </row>
    <row r="123" spans="1:11" ht="24.95" customHeight="1">
      <c r="A123" s="416"/>
      <c r="B123" s="417"/>
      <c r="C123" s="424"/>
      <c r="D123" s="417"/>
      <c r="E123" s="419"/>
      <c r="F123" s="419"/>
      <c r="G123" s="419"/>
      <c r="H123" s="419"/>
      <c r="I123" s="419"/>
      <c r="J123" s="419"/>
      <c r="K123" s="421"/>
    </row>
    <row r="124" spans="1:11" ht="24.95" customHeight="1">
      <c r="A124" s="1879" t="s">
        <v>736</v>
      </c>
      <c r="B124" s="1880"/>
      <c r="C124" s="417"/>
      <c r="D124" s="417"/>
      <c r="E124" s="419"/>
      <c r="F124" s="419"/>
      <c r="G124" s="419"/>
      <c r="H124" s="419"/>
      <c r="I124" s="419"/>
      <c r="J124" s="419"/>
      <c r="K124" s="421"/>
    </row>
    <row r="125" spans="1:11" ht="24.95" customHeight="1">
      <c r="A125" s="416" t="s">
        <v>737</v>
      </c>
      <c r="B125" s="417" t="s">
        <v>738</v>
      </c>
      <c r="C125" s="422">
        <v>13</v>
      </c>
      <c r="D125" s="417" t="s">
        <v>716</v>
      </c>
      <c r="E125" s="419">
        <f ca="1">'8.0자재단가'!I19</f>
        <v>2210</v>
      </c>
      <c r="F125" s="420">
        <f>INT(C125*E125)</f>
        <v>28730</v>
      </c>
      <c r="G125" s="419"/>
      <c r="H125" s="419"/>
      <c r="I125" s="419"/>
      <c r="J125" s="419"/>
      <c r="K125" s="421"/>
    </row>
    <row r="126" spans="1:11" ht="24.95" customHeight="1">
      <c r="A126" s="416" t="s">
        <v>739</v>
      </c>
      <c r="B126" s="417" t="s">
        <v>740</v>
      </c>
      <c r="C126" s="426">
        <v>4</v>
      </c>
      <c r="D126" s="417" t="s">
        <v>741</v>
      </c>
      <c r="E126" s="419">
        <f ca="1">'8.0자재단가'!I34</f>
        <v>880</v>
      </c>
      <c r="F126" s="420">
        <f>INT(C126*E126)</f>
        <v>3520</v>
      </c>
      <c r="G126" s="419"/>
      <c r="H126" s="419"/>
      <c r="I126" s="419"/>
      <c r="J126" s="419"/>
      <c r="K126" s="421"/>
    </row>
    <row r="127" spans="1:11" ht="24.95" customHeight="1">
      <c r="A127" s="416" t="s">
        <v>742</v>
      </c>
      <c r="B127" s="417" t="s">
        <v>743</v>
      </c>
      <c r="C127" s="418">
        <v>1.1000000000000001</v>
      </c>
      <c r="D127" s="417" t="s">
        <v>732</v>
      </c>
      <c r="E127" s="419">
        <f ca="1">'8.0자재단가'!I33</f>
        <v>600</v>
      </c>
      <c r="F127" s="420">
        <f>INT(C127*E127)</f>
        <v>660</v>
      </c>
      <c r="G127" s="419"/>
      <c r="H127" s="419"/>
      <c r="I127" s="419"/>
      <c r="J127" s="419"/>
      <c r="K127" s="421"/>
    </row>
    <row r="128" spans="1:11" ht="24.95" customHeight="1">
      <c r="A128" s="416" t="s">
        <v>909</v>
      </c>
      <c r="B128" s="417" t="s">
        <v>744</v>
      </c>
      <c r="C128" s="418">
        <v>0.76</v>
      </c>
      <c r="D128" s="417" t="s">
        <v>680</v>
      </c>
      <c r="E128" s="427">
        <f ca="1">'9.0중기목록'!F12</f>
        <v>6640</v>
      </c>
      <c r="F128" s="420">
        <f ca="1">INT(C128*E128)</f>
        <v>5046</v>
      </c>
      <c r="G128" s="419">
        <f ca="1">'9.0중기목록'!E12</f>
        <v>17696</v>
      </c>
      <c r="H128" s="420">
        <f ca="1">INT(G128*C128)</f>
        <v>13448</v>
      </c>
      <c r="I128" s="419">
        <f ca="1">'9.0중기목록'!G12</f>
        <v>10362</v>
      </c>
      <c r="J128" s="420">
        <f>INT(I128*C128)</f>
        <v>7875</v>
      </c>
      <c r="K128" s="421"/>
    </row>
    <row r="129" spans="1:11" ht="24.95" customHeight="1">
      <c r="A129" s="416" t="s">
        <v>735</v>
      </c>
      <c r="B129" s="417"/>
      <c r="C129" s="422">
        <v>0.08</v>
      </c>
      <c r="D129" s="417" t="s">
        <v>964</v>
      </c>
      <c r="E129" s="419"/>
      <c r="F129" s="419"/>
      <c r="G129" s="419">
        <f>G120</f>
        <v>84404</v>
      </c>
      <c r="H129" s="420">
        <f>INT(G129*C129)</f>
        <v>6752</v>
      </c>
      <c r="I129" s="419"/>
      <c r="J129" s="419"/>
      <c r="K129" s="421"/>
    </row>
    <row r="130" spans="1:11" ht="24.95" customHeight="1">
      <c r="A130" s="416" t="s">
        <v>728</v>
      </c>
      <c r="B130" s="417"/>
      <c r="C130" s="422">
        <v>0.13</v>
      </c>
      <c r="D130" s="417" t="s">
        <v>964</v>
      </c>
      <c r="E130" s="419"/>
      <c r="F130" s="419"/>
      <c r="G130" s="419">
        <f>G121</f>
        <v>68965</v>
      </c>
      <c r="H130" s="420">
        <f>INT(G130*C130)</f>
        <v>8965</v>
      </c>
      <c r="I130" s="419"/>
      <c r="J130" s="419"/>
      <c r="K130" s="421"/>
    </row>
    <row r="131" spans="1:11" ht="24.95" customHeight="1">
      <c r="A131" s="416" t="s">
        <v>715</v>
      </c>
      <c r="B131" s="417"/>
      <c r="C131" s="424"/>
      <c r="D131" s="417"/>
      <c r="E131" s="419"/>
      <c r="F131" s="419">
        <f>INT(F125+F126+F127+F128)</f>
        <v>37956</v>
      </c>
      <c r="G131" s="419"/>
      <c r="H131" s="419">
        <f>INT(H128+H129+H130)</f>
        <v>29165</v>
      </c>
      <c r="I131" s="419"/>
      <c r="J131" s="419">
        <f>INT(J128+J129)</f>
        <v>7875</v>
      </c>
      <c r="K131" s="421">
        <f>SUM(F131:J131)</f>
        <v>74996</v>
      </c>
    </row>
    <row r="132" spans="1:11" ht="24.95" customHeight="1">
      <c r="A132" s="416"/>
      <c r="B132" s="417"/>
      <c r="C132" s="422"/>
      <c r="D132" s="417"/>
      <c r="E132" s="419"/>
      <c r="F132" s="419"/>
      <c r="G132" s="419"/>
      <c r="H132" s="419"/>
      <c r="I132" s="419"/>
      <c r="J132" s="419"/>
      <c r="K132" s="421"/>
    </row>
    <row r="133" spans="1:11" ht="24.95" customHeight="1">
      <c r="A133" s="1879" t="s">
        <v>745</v>
      </c>
      <c r="B133" s="1880"/>
      <c r="C133" s="422"/>
      <c r="D133" s="417"/>
      <c r="E133" s="419"/>
      <c r="F133" s="423"/>
      <c r="G133" s="419"/>
      <c r="H133" s="423"/>
      <c r="I133" s="419"/>
      <c r="J133" s="419"/>
      <c r="K133" s="421"/>
    </row>
    <row r="134" spans="1:11" ht="24.95" customHeight="1">
      <c r="A134" s="416" t="s">
        <v>698</v>
      </c>
      <c r="B134" s="417" t="s">
        <v>699</v>
      </c>
      <c r="C134" s="418">
        <v>0.33</v>
      </c>
      <c r="D134" s="417" t="s">
        <v>700</v>
      </c>
      <c r="E134" s="419">
        <f ca="1">'8.0자재단가'!I29</f>
        <v>90000</v>
      </c>
      <c r="F134" s="420">
        <f>INT(C134*E134)</f>
        <v>29700</v>
      </c>
      <c r="G134" s="419"/>
      <c r="H134" s="419"/>
      <c r="I134" s="419"/>
      <c r="J134" s="419"/>
      <c r="K134" s="421"/>
    </row>
    <row r="135" spans="1:11" ht="24.95" customHeight="1">
      <c r="A135" s="416" t="s">
        <v>701</v>
      </c>
      <c r="B135" s="417" t="s">
        <v>702</v>
      </c>
      <c r="C135" s="418">
        <v>0.25</v>
      </c>
      <c r="D135" s="417" t="s">
        <v>703</v>
      </c>
      <c r="E135" s="419">
        <f ca="1">'8.0자재단가'!I30</f>
        <v>8000</v>
      </c>
      <c r="F135" s="420">
        <f>INT(C135*E135)</f>
        <v>2000</v>
      </c>
      <c r="G135" s="419"/>
      <c r="H135" s="419"/>
      <c r="I135" s="419"/>
      <c r="J135" s="419"/>
      <c r="K135" s="421"/>
    </row>
    <row r="136" spans="1:11" ht="24.95" customHeight="1">
      <c r="A136" s="416" t="s">
        <v>704</v>
      </c>
      <c r="B136" s="417" t="s">
        <v>705</v>
      </c>
      <c r="C136" s="418">
        <v>0.76</v>
      </c>
      <c r="D136" s="417" t="s">
        <v>680</v>
      </c>
      <c r="E136" s="419">
        <f>E97</f>
        <v>4431</v>
      </c>
      <c r="F136" s="420">
        <f>INT(C136*E136)</f>
        <v>3367</v>
      </c>
      <c r="G136" s="419">
        <f>G97</f>
        <v>14915</v>
      </c>
      <c r="H136" s="420">
        <f>INT(G136*C136)</f>
        <v>11335</v>
      </c>
      <c r="I136" s="419">
        <f>I97</f>
        <v>5226</v>
      </c>
      <c r="J136" s="420">
        <f>INT(I136*C136)</f>
        <v>3971</v>
      </c>
      <c r="K136" s="421"/>
    </row>
    <row r="137" spans="1:11" ht="24.95" customHeight="1">
      <c r="A137" s="416" t="s">
        <v>706</v>
      </c>
      <c r="B137" s="417" t="s">
        <v>707</v>
      </c>
      <c r="C137" s="422">
        <v>0.76</v>
      </c>
      <c r="D137" s="417" t="s">
        <v>680</v>
      </c>
      <c r="E137" s="419">
        <f>E98</f>
        <v>9565</v>
      </c>
      <c r="F137" s="420">
        <f>INT(C137*E137)</f>
        <v>7269</v>
      </c>
      <c r="G137" s="419"/>
      <c r="H137" s="419"/>
      <c r="I137" s="419">
        <f>I98</f>
        <v>1051</v>
      </c>
      <c r="J137" s="420">
        <f>INT(I137*C137)</f>
        <v>798</v>
      </c>
      <c r="K137" s="421"/>
    </row>
    <row r="138" spans="1:11" ht="24.95" customHeight="1">
      <c r="A138" s="416" t="s">
        <v>708</v>
      </c>
      <c r="B138" s="417" t="s">
        <v>709</v>
      </c>
      <c r="C138" s="422">
        <v>0.76</v>
      </c>
      <c r="D138" s="417" t="s">
        <v>680</v>
      </c>
      <c r="E138" s="419">
        <f>E99</f>
        <v>13117</v>
      </c>
      <c r="F138" s="420">
        <f>INT(C138*E138)</f>
        <v>9968</v>
      </c>
      <c r="G138" s="419">
        <f>G99</f>
        <v>17696</v>
      </c>
      <c r="H138" s="420">
        <f>INT(G138*C138)</f>
        <v>13448</v>
      </c>
      <c r="I138" s="419">
        <f>I99</f>
        <v>7823</v>
      </c>
      <c r="J138" s="420">
        <f>INT(I138*C138)</f>
        <v>5945</v>
      </c>
      <c r="K138" s="421"/>
    </row>
    <row r="139" spans="1:11" ht="24.95" customHeight="1">
      <c r="A139" s="416" t="s">
        <v>710</v>
      </c>
      <c r="B139" s="417" t="s">
        <v>719</v>
      </c>
      <c r="C139" s="422">
        <v>0.76</v>
      </c>
      <c r="D139" s="417" t="s">
        <v>680</v>
      </c>
      <c r="E139" s="419"/>
      <c r="F139" s="423"/>
      <c r="G139" s="419"/>
      <c r="H139" s="419"/>
      <c r="I139" s="419">
        <f>I100</f>
        <v>2129</v>
      </c>
      <c r="J139" s="420">
        <f>INT(I139*C139)</f>
        <v>1618</v>
      </c>
      <c r="K139" s="421"/>
    </row>
    <row r="140" spans="1:11" ht="24.95" customHeight="1">
      <c r="A140" s="416" t="s">
        <v>712</v>
      </c>
      <c r="B140" s="417"/>
      <c r="C140" s="426">
        <v>0.4</v>
      </c>
      <c r="D140" s="417" t="s">
        <v>964</v>
      </c>
      <c r="E140" s="419"/>
      <c r="F140" s="423"/>
      <c r="G140" s="419">
        <f>G75</f>
        <v>84404</v>
      </c>
      <c r="H140" s="420">
        <f>INT(G140*C140)</f>
        <v>33761</v>
      </c>
      <c r="I140" s="419"/>
      <c r="J140" s="419"/>
      <c r="K140" s="421"/>
    </row>
    <row r="141" spans="1:11" ht="24.95" customHeight="1">
      <c r="A141" s="416" t="s">
        <v>713</v>
      </c>
      <c r="B141" s="417"/>
      <c r="C141" s="426">
        <v>0.1</v>
      </c>
      <c r="D141" s="417" t="s">
        <v>964</v>
      </c>
      <c r="E141" s="419"/>
      <c r="F141" s="423"/>
      <c r="G141" s="419">
        <f>G76</f>
        <v>86521</v>
      </c>
      <c r="H141" s="420">
        <f>INT(G141*C141)</f>
        <v>8652</v>
      </c>
      <c r="I141" s="419"/>
      <c r="J141" s="419"/>
      <c r="K141" s="421"/>
    </row>
    <row r="142" spans="1:11" ht="24.95" customHeight="1">
      <c r="A142" s="416" t="s">
        <v>714</v>
      </c>
      <c r="B142" s="417"/>
      <c r="C142" s="426">
        <v>0.6</v>
      </c>
      <c r="D142" s="417" t="s">
        <v>964</v>
      </c>
      <c r="E142" s="419"/>
      <c r="F142" s="423"/>
      <c r="G142" s="419">
        <f>G77</f>
        <v>68965</v>
      </c>
      <c r="H142" s="420">
        <f>INT(G142*C142)</f>
        <v>41379</v>
      </c>
      <c r="I142" s="419"/>
      <c r="J142" s="419"/>
      <c r="K142" s="421"/>
    </row>
    <row r="143" spans="1:11" ht="24.95" customHeight="1">
      <c r="A143" s="416" t="s">
        <v>715</v>
      </c>
      <c r="B143" s="417"/>
      <c r="C143" s="424"/>
      <c r="D143" s="417"/>
      <c r="E143" s="419"/>
      <c r="F143" s="419">
        <f>INT(F134+F135+F136+F137+F138)</f>
        <v>52304</v>
      </c>
      <c r="G143" s="419"/>
      <c r="H143" s="419">
        <f>INT(H136+H138+H140+H141+H142)</f>
        <v>108575</v>
      </c>
      <c r="I143" s="419"/>
      <c r="J143" s="419">
        <f>INT(J136+J137+J138+J139)</f>
        <v>12332</v>
      </c>
      <c r="K143" s="421">
        <f>SUM(F143:J143)</f>
        <v>173211</v>
      </c>
    </row>
    <row r="144" spans="1:11" ht="24.95" customHeight="1">
      <c r="A144" s="416"/>
      <c r="B144" s="417"/>
      <c r="C144" s="426"/>
      <c r="D144" s="417"/>
      <c r="E144" s="419"/>
      <c r="F144" s="423"/>
      <c r="G144" s="419"/>
      <c r="H144" s="419"/>
      <c r="I144" s="419"/>
      <c r="J144" s="419"/>
      <c r="K144" s="421"/>
    </row>
    <row r="145" spans="1:11" ht="24.95" customHeight="1">
      <c r="A145" s="416" t="s">
        <v>746</v>
      </c>
      <c r="B145" s="417"/>
      <c r="C145" s="425">
        <v>10</v>
      </c>
      <c r="D145" s="417" t="s">
        <v>716</v>
      </c>
      <c r="E145" s="419"/>
      <c r="F145" s="420">
        <f>F143+F131+F122+F115</f>
        <v>117049</v>
      </c>
      <c r="G145" s="419"/>
      <c r="H145" s="419">
        <f>H143+H131+H122+H115</f>
        <v>266964</v>
      </c>
      <c r="I145" s="419"/>
      <c r="J145" s="419">
        <f>J143+J131+J115</f>
        <v>24484</v>
      </c>
      <c r="K145" s="429">
        <f>K143+K131+K122+K115</f>
        <v>408497</v>
      </c>
    </row>
    <row r="146" spans="1:11" ht="24.95" customHeight="1">
      <c r="A146" s="1725">
        <f>INT(K145/10)</f>
        <v>40849</v>
      </c>
      <c r="B146" s="1726"/>
      <c r="C146" s="1726"/>
      <c r="D146" s="1726"/>
      <c r="E146" s="1726"/>
      <c r="F146" s="1726"/>
      <c r="G146" s="1726"/>
      <c r="H146" s="1726"/>
      <c r="I146" s="1726"/>
      <c r="J146" s="1726"/>
      <c r="K146" s="1727"/>
    </row>
    <row r="147" spans="1:11" ht="24.95" customHeight="1">
      <c r="A147" s="430"/>
      <c r="B147" s="431"/>
      <c r="C147" s="432"/>
      <c r="D147" s="431"/>
      <c r="E147" s="433"/>
      <c r="F147" s="434"/>
      <c r="G147" s="433"/>
      <c r="H147" s="433"/>
      <c r="I147" s="433"/>
      <c r="J147" s="433"/>
      <c r="K147" s="435"/>
    </row>
    <row r="148" spans="1:11" ht="24.95" customHeight="1">
      <c r="A148" s="1885" t="s">
        <v>689</v>
      </c>
      <c r="B148" s="1878" t="s">
        <v>690</v>
      </c>
      <c r="C148" s="1878" t="s">
        <v>691</v>
      </c>
      <c r="D148" s="1878" t="s">
        <v>824</v>
      </c>
      <c r="E148" s="1878" t="s">
        <v>692</v>
      </c>
      <c r="F148" s="1878"/>
      <c r="G148" s="1878" t="s">
        <v>693</v>
      </c>
      <c r="H148" s="1878"/>
      <c r="I148" s="1878" t="s">
        <v>694</v>
      </c>
      <c r="J148" s="1878"/>
      <c r="K148" s="1888" t="s">
        <v>1075</v>
      </c>
    </row>
    <row r="149" spans="1:11" ht="24.95" customHeight="1">
      <c r="A149" s="1886"/>
      <c r="B149" s="1881"/>
      <c r="C149" s="1881"/>
      <c r="D149" s="1881"/>
      <c r="E149" s="417" t="s">
        <v>695</v>
      </c>
      <c r="F149" s="417" t="s">
        <v>696</v>
      </c>
      <c r="G149" s="417" t="s">
        <v>695</v>
      </c>
      <c r="H149" s="417" t="s">
        <v>696</v>
      </c>
      <c r="I149" s="417" t="s">
        <v>695</v>
      </c>
      <c r="J149" s="417" t="s">
        <v>696</v>
      </c>
      <c r="K149" s="1889"/>
    </row>
    <row r="150" spans="1:11" ht="24.95" customHeight="1">
      <c r="A150" s="1879" t="s">
        <v>747</v>
      </c>
      <c r="B150" s="1880"/>
      <c r="C150" s="1880"/>
      <c r="D150" s="1880"/>
      <c r="E150" s="1880"/>
      <c r="F150" s="1880"/>
      <c r="G150" s="1880"/>
      <c r="H150" s="1880"/>
      <c r="I150" s="1880"/>
      <c r="J150" s="1880"/>
      <c r="K150" s="1887"/>
    </row>
    <row r="151" spans="1:11" ht="24.95" customHeight="1">
      <c r="A151" s="1879" t="s">
        <v>748</v>
      </c>
      <c r="B151" s="1880"/>
      <c r="C151" s="418"/>
      <c r="D151" s="417"/>
      <c r="E151" s="419"/>
      <c r="F151" s="423"/>
      <c r="G151" s="419"/>
      <c r="H151" s="419"/>
      <c r="I151" s="419"/>
      <c r="J151" s="419"/>
      <c r="K151" s="421"/>
    </row>
    <row r="152" spans="1:11" ht="24.95" customHeight="1">
      <c r="A152" s="416" t="s">
        <v>722</v>
      </c>
      <c r="B152" s="417" t="s">
        <v>723</v>
      </c>
      <c r="C152" s="418">
        <v>1.1399999999999999</v>
      </c>
      <c r="D152" s="417" t="s">
        <v>680</v>
      </c>
      <c r="E152" s="427">
        <f>E111</f>
        <v>11704</v>
      </c>
      <c r="F152" s="420">
        <f>INT(C152*E152)</f>
        <v>13342</v>
      </c>
      <c r="G152" s="427">
        <f>G111</f>
        <v>14915</v>
      </c>
      <c r="H152" s="420">
        <f>INT(G152*C152)</f>
        <v>17003</v>
      </c>
      <c r="I152" s="427">
        <f>I111</f>
        <v>3752</v>
      </c>
      <c r="J152" s="420">
        <f>INT(I152*C152)</f>
        <v>4277</v>
      </c>
      <c r="K152" s="421"/>
    </row>
    <row r="153" spans="1:11" ht="24.95" customHeight="1">
      <c r="A153" s="416" t="s">
        <v>724</v>
      </c>
      <c r="B153" s="417" t="s">
        <v>725</v>
      </c>
      <c r="C153" s="428">
        <v>1</v>
      </c>
      <c r="D153" s="417" t="s">
        <v>726</v>
      </c>
      <c r="E153" s="419"/>
      <c r="F153" s="420">
        <f>INT(H156*0.025)</f>
        <v>2107</v>
      </c>
      <c r="G153" s="419"/>
      <c r="H153" s="423"/>
      <c r="I153" s="419"/>
      <c r="J153" s="423"/>
      <c r="K153" s="421"/>
    </row>
    <row r="154" spans="1:11" ht="24.95" customHeight="1">
      <c r="A154" s="416" t="s">
        <v>727</v>
      </c>
      <c r="B154" s="417"/>
      <c r="C154" s="422">
        <v>0.43</v>
      </c>
      <c r="D154" s="417" t="s">
        <v>964</v>
      </c>
      <c r="E154" s="419"/>
      <c r="F154" s="423"/>
      <c r="G154" s="419">
        <f>G113</f>
        <v>79533</v>
      </c>
      <c r="H154" s="420">
        <f>INT(G154*C154)</f>
        <v>34199</v>
      </c>
      <c r="I154" s="419"/>
      <c r="J154" s="423"/>
      <c r="K154" s="421"/>
    </row>
    <row r="155" spans="1:11" ht="24.95" customHeight="1">
      <c r="A155" s="416" t="s">
        <v>728</v>
      </c>
      <c r="B155" s="417"/>
      <c r="C155" s="422">
        <v>0.48</v>
      </c>
      <c r="D155" s="417" t="s">
        <v>964</v>
      </c>
      <c r="E155" s="419"/>
      <c r="F155" s="423"/>
      <c r="G155" s="419">
        <f>G114</f>
        <v>68965</v>
      </c>
      <c r="H155" s="420">
        <f>INT(G155*C155)</f>
        <v>33103</v>
      </c>
      <c r="I155" s="419"/>
      <c r="J155" s="423"/>
      <c r="K155" s="421"/>
    </row>
    <row r="156" spans="1:11" ht="24.95" customHeight="1">
      <c r="A156" s="416" t="s">
        <v>715</v>
      </c>
      <c r="B156" s="417"/>
      <c r="C156" s="422"/>
      <c r="D156" s="417"/>
      <c r="E156" s="419"/>
      <c r="F156" s="419">
        <f>INT(F152+F153)</f>
        <v>15449</v>
      </c>
      <c r="G156" s="419"/>
      <c r="H156" s="419">
        <f>INT(H152+H154+H155)</f>
        <v>84305</v>
      </c>
      <c r="I156" s="419"/>
      <c r="J156" s="419">
        <f>INT(J152+J153)</f>
        <v>4277</v>
      </c>
      <c r="K156" s="421">
        <f>SUM(F156:J156)</f>
        <v>104031</v>
      </c>
    </row>
    <row r="157" spans="1:11" ht="24.95" customHeight="1">
      <c r="A157" s="416"/>
      <c r="B157" s="417"/>
      <c r="C157" s="422"/>
      <c r="D157" s="417"/>
      <c r="E157" s="419"/>
      <c r="F157" s="423"/>
      <c r="G157" s="419"/>
      <c r="H157" s="423"/>
      <c r="I157" s="419"/>
      <c r="J157" s="419"/>
      <c r="K157" s="421"/>
    </row>
    <row r="158" spans="1:11" ht="24.95" customHeight="1">
      <c r="A158" s="1879" t="s">
        <v>729</v>
      </c>
      <c r="B158" s="1880"/>
      <c r="C158" s="422"/>
      <c r="D158" s="417"/>
      <c r="E158" s="419"/>
      <c r="F158" s="423"/>
      <c r="G158" s="419"/>
      <c r="H158" s="423"/>
      <c r="I158" s="419"/>
      <c r="J158" s="419"/>
      <c r="K158" s="421"/>
    </row>
    <row r="159" spans="1:11" ht="24.95" customHeight="1">
      <c r="A159" s="416" t="s">
        <v>730</v>
      </c>
      <c r="B159" s="417" t="s">
        <v>731</v>
      </c>
      <c r="C159" s="426">
        <v>1.2</v>
      </c>
      <c r="D159" s="417" t="s">
        <v>732</v>
      </c>
      <c r="E159" s="419">
        <f ca="1">'8.0자재단가'!I31</f>
        <v>1200</v>
      </c>
      <c r="F159" s="420">
        <f>INT(C159*E159)</f>
        <v>1440</v>
      </c>
      <c r="G159" s="419"/>
      <c r="H159" s="423"/>
      <c r="I159" s="419"/>
      <c r="J159" s="419"/>
      <c r="K159" s="421"/>
    </row>
    <row r="160" spans="1:11" ht="24.95" customHeight="1">
      <c r="A160" s="416" t="s">
        <v>733</v>
      </c>
      <c r="B160" s="417" t="s">
        <v>734</v>
      </c>
      <c r="C160" s="426">
        <v>11</v>
      </c>
      <c r="D160" s="417" t="s">
        <v>732</v>
      </c>
      <c r="E160" s="419">
        <f ca="1">'8.0자재단가'!I32</f>
        <v>900</v>
      </c>
      <c r="F160" s="420">
        <f>INT(C160*E160)</f>
        <v>9900</v>
      </c>
      <c r="G160" s="419"/>
      <c r="H160" s="423"/>
      <c r="I160" s="419"/>
      <c r="J160" s="419"/>
      <c r="K160" s="421"/>
    </row>
    <row r="161" spans="1:11" ht="24.95" customHeight="1">
      <c r="A161" s="416" t="s">
        <v>735</v>
      </c>
      <c r="B161" s="417"/>
      <c r="C161" s="422">
        <v>0.14000000000000001</v>
      </c>
      <c r="D161" s="417" t="s">
        <v>964</v>
      </c>
      <c r="E161" s="419"/>
      <c r="F161" s="419"/>
      <c r="G161" s="419">
        <f>G120</f>
        <v>84404</v>
      </c>
      <c r="H161" s="420">
        <f>INT(G161*C161)</f>
        <v>11816</v>
      </c>
      <c r="I161" s="419"/>
      <c r="J161" s="419"/>
      <c r="K161" s="421"/>
    </row>
    <row r="162" spans="1:11" ht="24.95" customHeight="1">
      <c r="A162" s="416" t="s">
        <v>728</v>
      </c>
      <c r="B162" s="417"/>
      <c r="C162" s="422">
        <v>0.48</v>
      </c>
      <c r="D162" s="417" t="s">
        <v>964</v>
      </c>
      <c r="E162" s="419"/>
      <c r="F162" s="419"/>
      <c r="G162" s="419">
        <f>G121</f>
        <v>68965</v>
      </c>
      <c r="H162" s="420">
        <f>INT(G162*C162)</f>
        <v>33103</v>
      </c>
      <c r="I162" s="419"/>
      <c r="J162" s="419"/>
      <c r="K162" s="421"/>
    </row>
    <row r="163" spans="1:11" ht="24.95" customHeight="1">
      <c r="A163" s="416" t="s">
        <v>715</v>
      </c>
      <c r="B163" s="417"/>
      <c r="C163" s="424"/>
      <c r="D163" s="417"/>
      <c r="E163" s="419"/>
      <c r="F163" s="419">
        <f>INT(F159+F160)</f>
        <v>11340</v>
      </c>
      <c r="G163" s="419"/>
      <c r="H163" s="419">
        <f>INT(H159+H161+H162)</f>
        <v>44919</v>
      </c>
      <c r="I163" s="419"/>
      <c r="J163" s="419"/>
      <c r="K163" s="421">
        <f>SUM(F163:J163)</f>
        <v>56259</v>
      </c>
    </row>
    <row r="164" spans="1:11" ht="24.95" customHeight="1">
      <c r="A164" s="416"/>
      <c r="B164" s="417"/>
      <c r="C164" s="424"/>
      <c r="D164" s="417"/>
      <c r="E164" s="419"/>
      <c r="F164" s="419"/>
      <c r="G164" s="419"/>
      <c r="H164" s="419"/>
      <c r="I164" s="419"/>
      <c r="J164" s="419"/>
      <c r="K164" s="421"/>
    </row>
    <row r="165" spans="1:11" ht="24.95" customHeight="1">
      <c r="A165" s="1879" t="s">
        <v>749</v>
      </c>
      <c r="B165" s="1880"/>
      <c r="C165" s="417"/>
      <c r="D165" s="417"/>
      <c r="E165" s="419"/>
      <c r="F165" s="419"/>
      <c r="G165" s="419"/>
      <c r="H165" s="419"/>
      <c r="I165" s="419"/>
      <c r="J165" s="419"/>
      <c r="K165" s="421"/>
    </row>
    <row r="166" spans="1:11" ht="24.95" customHeight="1">
      <c r="A166" s="416" t="s">
        <v>737</v>
      </c>
      <c r="B166" s="417" t="s">
        <v>738</v>
      </c>
      <c r="C166" s="422">
        <v>13</v>
      </c>
      <c r="D166" s="417" t="s">
        <v>716</v>
      </c>
      <c r="E166" s="419">
        <f ca="1">'8.0자재단가'!I19</f>
        <v>2210</v>
      </c>
      <c r="F166" s="420">
        <f>INT(C166*E166)</f>
        <v>28730</v>
      </c>
      <c r="G166" s="419"/>
      <c r="H166" s="419"/>
      <c r="I166" s="419"/>
      <c r="J166" s="419"/>
      <c r="K166" s="421"/>
    </row>
    <row r="167" spans="1:11" ht="24.95" customHeight="1">
      <c r="A167" s="416" t="s">
        <v>739</v>
      </c>
      <c r="B167" s="417" t="s">
        <v>740</v>
      </c>
      <c r="C167" s="426">
        <v>4</v>
      </c>
      <c r="D167" s="417" t="s">
        <v>741</v>
      </c>
      <c r="E167" s="419">
        <f ca="1">'8.0자재단가'!I34</f>
        <v>880</v>
      </c>
      <c r="F167" s="420">
        <f>INT(C167*E167)</f>
        <v>3520</v>
      </c>
      <c r="G167" s="419"/>
      <c r="H167" s="419"/>
      <c r="I167" s="419"/>
      <c r="J167" s="419"/>
      <c r="K167" s="421"/>
    </row>
    <row r="168" spans="1:11" ht="24.95" customHeight="1">
      <c r="A168" s="416" t="s">
        <v>742</v>
      </c>
      <c r="B168" s="417" t="s">
        <v>743</v>
      </c>
      <c r="C168" s="418">
        <v>1.1000000000000001</v>
      </c>
      <c r="D168" s="417" t="s">
        <v>732</v>
      </c>
      <c r="E168" s="419">
        <f ca="1">'8.0자재단가'!I33</f>
        <v>600</v>
      </c>
      <c r="F168" s="420">
        <f>INT(C168*E168)</f>
        <v>660</v>
      </c>
      <c r="G168" s="419"/>
      <c r="H168" s="419"/>
      <c r="I168" s="419"/>
      <c r="J168" s="419"/>
      <c r="K168" s="421"/>
    </row>
    <row r="169" spans="1:11" ht="24.95" customHeight="1">
      <c r="A169" s="416" t="s">
        <v>909</v>
      </c>
      <c r="B169" s="417" t="s">
        <v>744</v>
      </c>
      <c r="C169" s="418">
        <v>0.76</v>
      </c>
      <c r="D169" s="417" t="s">
        <v>680</v>
      </c>
      <c r="E169" s="427">
        <f>E128</f>
        <v>6640</v>
      </c>
      <c r="F169" s="420">
        <f>INT(C169*E169)</f>
        <v>5046</v>
      </c>
      <c r="G169" s="427">
        <f>G128</f>
        <v>17696</v>
      </c>
      <c r="H169" s="420">
        <f>INT(G169*C169)</f>
        <v>13448</v>
      </c>
      <c r="I169" s="427">
        <f>I128</f>
        <v>10362</v>
      </c>
      <c r="J169" s="420">
        <f>INT(I169*C169)</f>
        <v>7875</v>
      </c>
      <c r="K169" s="421"/>
    </row>
    <row r="170" spans="1:11" ht="24.95" customHeight="1">
      <c r="A170" s="416" t="s">
        <v>735</v>
      </c>
      <c r="B170" s="417"/>
      <c r="C170" s="422">
        <v>0.08</v>
      </c>
      <c r="D170" s="417" t="s">
        <v>964</v>
      </c>
      <c r="E170" s="419"/>
      <c r="F170" s="419"/>
      <c r="G170" s="419">
        <f>G161</f>
        <v>84404</v>
      </c>
      <c r="H170" s="420">
        <f>INT(G170*C170)</f>
        <v>6752</v>
      </c>
      <c r="I170" s="419"/>
      <c r="J170" s="419"/>
      <c r="K170" s="421"/>
    </row>
    <row r="171" spans="1:11" ht="24.95" customHeight="1">
      <c r="A171" s="416" t="s">
        <v>728</v>
      </c>
      <c r="B171" s="417"/>
      <c r="C171" s="422">
        <v>0.13</v>
      </c>
      <c r="D171" s="417" t="s">
        <v>964</v>
      </c>
      <c r="E171" s="419"/>
      <c r="F171" s="419"/>
      <c r="G171" s="419">
        <f>G162</f>
        <v>68965</v>
      </c>
      <c r="H171" s="420">
        <f>INT(G171*C171)</f>
        <v>8965</v>
      </c>
      <c r="I171" s="419"/>
      <c r="J171" s="419"/>
      <c r="K171" s="421"/>
    </row>
    <row r="172" spans="1:11" ht="24.95" customHeight="1">
      <c r="A172" s="416" t="s">
        <v>715</v>
      </c>
      <c r="B172" s="417"/>
      <c r="C172" s="424"/>
      <c r="D172" s="417"/>
      <c r="E172" s="419"/>
      <c r="F172" s="419">
        <f>INT(F166+F167+F168+F169)</f>
        <v>37956</v>
      </c>
      <c r="G172" s="419"/>
      <c r="H172" s="419">
        <f>INT(H169+H170+H171)</f>
        <v>29165</v>
      </c>
      <c r="I172" s="419"/>
      <c r="J172" s="419">
        <f>INT(J169+J170)</f>
        <v>7875</v>
      </c>
      <c r="K172" s="421">
        <f>SUM(F172:J172)</f>
        <v>74996</v>
      </c>
    </row>
    <row r="173" spans="1:11" ht="24.95" customHeight="1">
      <c r="A173" s="416"/>
      <c r="B173" s="417"/>
      <c r="C173" s="422"/>
      <c r="D173" s="417"/>
      <c r="E173" s="419"/>
      <c r="F173" s="419"/>
      <c r="G173" s="419"/>
      <c r="H173" s="419"/>
      <c r="I173" s="419"/>
      <c r="J173" s="419"/>
      <c r="K173" s="421"/>
    </row>
    <row r="174" spans="1:11" ht="24.95" customHeight="1">
      <c r="A174" s="1879" t="s">
        <v>750</v>
      </c>
      <c r="B174" s="1880"/>
      <c r="C174" s="422"/>
      <c r="D174" s="417"/>
      <c r="E174" s="419"/>
      <c r="F174" s="423"/>
      <c r="G174" s="419"/>
      <c r="H174" s="423"/>
      <c r="I174" s="419"/>
      <c r="J174" s="419"/>
      <c r="K174" s="421"/>
    </row>
    <row r="175" spans="1:11" ht="24.95" customHeight="1">
      <c r="A175" s="416" t="s">
        <v>698</v>
      </c>
      <c r="B175" s="417" t="s">
        <v>699</v>
      </c>
      <c r="C175" s="418">
        <v>0.55000000000000004</v>
      </c>
      <c r="D175" s="417" t="s">
        <v>700</v>
      </c>
      <c r="E175" s="419">
        <f ca="1">'8.0자재단가'!I29</f>
        <v>90000</v>
      </c>
      <c r="F175" s="420">
        <f>INT(C175*E175)</f>
        <v>49500</v>
      </c>
      <c r="G175" s="419"/>
      <c r="H175" s="419"/>
      <c r="I175" s="419"/>
      <c r="J175" s="419"/>
      <c r="K175" s="421"/>
    </row>
    <row r="176" spans="1:11" ht="24.95" customHeight="1">
      <c r="A176" s="416" t="s">
        <v>701</v>
      </c>
      <c r="B176" s="417" t="s">
        <v>702</v>
      </c>
      <c r="C176" s="418">
        <v>0.25</v>
      </c>
      <c r="D176" s="417" t="s">
        <v>703</v>
      </c>
      <c r="E176" s="419">
        <f ca="1">'8.0자재단가'!I30</f>
        <v>8000</v>
      </c>
      <c r="F176" s="420">
        <f>INT(C176*E176)</f>
        <v>2000</v>
      </c>
      <c r="G176" s="419"/>
      <c r="H176" s="419"/>
      <c r="I176" s="419"/>
      <c r="J176" s="419"/>
      <c r="K176" s="421"/>
    </row>
    <row r="177" spans="1:11" ht="24.95" customHeight="1">
      <c r="A177" s="416" t="s">
        <v>704</v>
      </c>
      <c r="B177" s="417" t="s">
        <v>705</v>
      </c>
      <c r="C177" s="418">
        <v>1.2</v>
      </c>
      <c r="D177" s="417" t="s">
        <v>680</v>
      </c>
      <c r="E177" s="419">
        <f>E136</f>
        <v>4431</v>
      </c>
      <c r="F177" s="420">
        <f>INT(C177*E177)</f>
        <v>5317</v>
      </c>
      <c r="G177" s="419">
        <f>G136</f>
        <v>14915</v>
      </c>
      <c r="H177" s="420">
        <f>INT(G177*C177)</f>
        <v>17898</v>
      </c>
      <c r="I177" s="419">
        <f>I136</f>
        <v>5226</v>
      </c>
      <c r="J177" s="420">
        <f>INT(I177*C177)</f>
        <v>6271</v>
      </c>
      <c r="K177" s="421"/>
    </row>
    <row r="178" spans="1:11" ht="24.95" customHeight="1">
      <c r="A178" s="416" t="s">
        <v>706</v>
      </c>
      <c r="B178" s="417" t="s">
        <v>707</v>
      </c>
      <c r="C178" s="422">
        <v>1.2</v>
      </c>
      <c r="D178" s="417" t="s">
        <v>680</v>
      </c>
      <c r="E178" s="419">
        <f>E137</f>
        <v>9565</v>
      </c>
      <c r="F178" s="420">
        <f>INT(C178*E178)</f>
        <v>11478</v>
      </c>
      <c r="G178" s="419"/>
      <c r="H178" s="419"/>
      <c r="I178" s="419">
        <f>I137</f>
        <v>1051</v>
      </c>
      <c r="J178" s="420">
        <f>INT(I178*C178)</f>
        <v>1261</v>
      </c>
      <c r="K178" s="421"/>
    </row>
    <row r="179" spans="1:11" ht="24.95" customHeight="1">
      <c r="A179" s="416" t="s">
        <v>708</v>
      </c>
      <c r="B179" s="417" t="s">
        <v>709</v>
      </c>
      <c r="C179" s="422">
        <v>1.2</v>
      </c>
      <c r="D179" s="417" t="s">
        <v>680</v>
      </c>
      <c r="E179" s="419">
        <f>E138</f>
        <v>13117</v>
      </c>
      <c r="F179" s="420">
        <f>INT(C179*E179)</f>
        <v>15740</v>
      </c>
      <c r="G179" s="419">
        <f>G138</f>
        <v>17696</v>
      </c>
      <c r="H179" s="420">
        <f>INT(G179*C179)</f>
        <v>21235</v>
      </c>
      <c r="I179" s="419">
        <f>I138</f>
        <v>7823</v>
      </c>
      <c r="J179" s="420">
        <f>INT(I179*C179)</f>
        <v>9387</v>
      </c>
      <c r="K179" s="421"/>
    </row>
    <row r="180" spans="1:11" ht="24.95" customHeight="1">
      <c r="A180" s="416" t="s">
        <v>710</v>
      </c>
      <c r="B180" s="417" t="s">
        <v>719</v>
      </c>
      <c r="C180" s="422">
        <v>1.2</v>
      </c>
      <c r="D180" s="417" t="s">
        <v>680</v>
      </c>
      <c r="E180" s="419"/>
      <c r="F180" s="423"/>
      <c r="G180" s="419"/>
      <c r="H180" s="419"/>
      <c r="I180" s="419">
        <f>I139</f>
        <v>2129</v>
      </c>
      <c r="J180" s="420">
        <f>INT(I180*C180)</f>
        <v>2554</v>
      </c>
      <c r="K180" s="421"/>
    </row>
    <row r="181" spans="1:11" ht="24.95" customHeight="1">
      <c r="A181" s="416" t="s">
        <v>712</v>
      </c>
      <c r="B181" s="417"/>
      <c r="C181" s="422">
        <v>0.67</v>
      </c>
      <c r="D181" s="417" t="s">
        <v>964</v>
      </c>
      <c r="E181" s="419"/>
      <c r="F181" s="423"/>
      <c r="G181" s="419">
        <f>G75</f>
        <v>84404</v>
      </c>
      <c r="H181" s="420">
        <f>INT(G181*C181)</f>
        <v>56550</v>
      </c>
      <c r="I181" s="419"/>
      <c r="J181" s="419"/>
      <c r="K181" s="421"/>
    </row>
    <row r="182" spans="1:11" ht="24.95" customHeight="1">
      <c r="A182" s="416" t="s">
        <v>713</v>
      </c>
      <c r="B182" s="417"/>
      <c r="C182" s="422">
        <v>0.16</v>
      </c>
      <c r="D182" s="417" t="s">
        <v>964</v>
      </c>
      <c r="E182" s="419"/>
      <c r="F182" s="423"/>
      <c r="G182" s="419">
        <f>G76</f>
        <v>86521</v>
      </c>
      <c r="H182" s="420">
        <f>INT(G182*C182)</f>
        <v>13843</v>
      </c>
      <c r="I182" s="419"/>
      <c r="J182" s="419"/>
      <c r="K182" s="421"/>
    </row>
    <row r="183" spans="1:11" ht="24.95" customHeight="1">
      <c r="A183" s="416" t="s">
        <v>714</v>
      </c>
      <c r="B183" s="417"/>
      <c r="C183" s="422">
        <v>0.83</v>
      </c>
      <c r="D183" s="417" t="s">
        <v>964</v>
      </c>
      <c r="E183" s="419"/>
      <c r="F183" s="423"/>
      <c r="G183" s="419">
        <f>G77</f>
        <v>68965</v>
      </c>
      <c r="H183" s="420">
        <f>INT(G183*C183)</f>
        <v>57240</v>
      </c>
      <c r="I183" s="419"/>
      <c r="J183" s="419"/>
      <c r="K183" s="421"/>
    </row>
    <row r="184" spans="1:11" ht="24.95" customHeight="1">
      <c r="A184" s="416" t="s">
        <v>715</v>
      </c>
      <c r="B184" s="417"/>
      <c r="C184" s="424"/>
      <c r="D184" s="417"/>
      <c r="E184" s="419"/>
      <c r="F184" s="419">
        <f>INT(F175+F176+F177+F178+F179)</f>
        <v>84035</v>
      </c>
      <c r="G184" s="419"/>
      <c r="H184" s="419">
        <f>INT(H177+H179+H181+H182+H183)</f>
        <v>166766</v>
      </c>
      <c r="I184" s="419"/>
      <c r="J184" s="419">
        <f>INT(J177+J178+J179+J180)</f>
        <v>19473</v>
      </c>
      <c r="K184" s="421">
        <f>SUM(F184:J184)</f>
        <v>270274</v>
      </c>
    </row>
    <row r="185" spans="1:11" ht="24.95" customHeight="1">
      <c r="A185" s="416"/>
      <c r="B185" s="417"/>
      <c r="C185" s="426"/>
      <c r="D185" s="417"/>
      <c r="E185" s="419"/>
      <c r="F185" s="423"/>
      <c r="G185" s="419"/>
      <c r="H185" s="419"/>
      <c r="I185" s="419"/>
      <c r="J185" s="419"/>
      <c r="K185" s="421"/>
    </row>
    <row r="186" spans="1:11" ht="24.95" customHeight="1">
      <c r="A186" s="416" t="s">
        <v>746</v>
      </c>
      <c r="B186" s="417"/>
      <c r="C186" s="425">
        <v>10</v>
      </c>
      <c r="D186" s="417" t="s">
        <v>716</v>
      </c>
      <c r="E186" s="419"/>
      <c r="F186" s="420">
        <f>F184+F172+F163+F156</f>
        <v>148780</v>
      </c>
      <c r="G186" s="419"/>
      <c r="H186" s="419">
        <f>H184+H172+H163+H156</f>
        <v>325155</v>
      </c>
      <c r="I186" s="419"/>
      <c r="J186" s="419">
        <f>J184+J172+J156</f>
        <v>31625</v>
      </c>
      <c r="K186" s="421">
        <f>F186+H186+J186</f>
        <v>505560</v>
      </c>
    </row>
    <row r="187" spans="1:11" ht="24.95" customHeight="1">
      <c r="A187" s="1725">
        <f>INT(K186/10)</f>
        <v>50556</v>
      </c>
      <c r="B187" s="1726"/>
      <c r="C187" s="1726"/>
      <c r="D187" s="1726"/>
      <c r="E187" s="1726"/>
      <c r="F187" s="1726"/>
      <c r="G187" s="1726"/>
      <c r="H187" s="1726"/>
      <c r="I187" s="1726"/>
      <c r="J187" s="1726"/>
      <c r="K187" s="1727"/>
    </row>
    <row r="188" spans="1:11" ht="24.95" customHeight="1">
      <c r="A188" s="430"/>
      <c r="B188" s="431"/>
      <c r="C188" s="432"/>
      <c r="D188" s="431"/>
      <c r="E188" s="433"/>
      <c r="F188" s="434"/>
      <c r="G188" s="433"/>
      <c r="H188" s="433"/>
      <c r="I188" s="433"/>
      <c r="J188" s="433"/>
      <c r="K188" s="435"/>
    </row>
  </sheetData>
  <mergeCells count="44">
    <mergeCell ref="A187:K187"/>
    <mergeCell ref="A148:A149"/>
    <mergeCell ref="B148:B149"/>
    <mergeCell ref="I148:J148"/>
    <mergeCell ref="K148:K149"/>
    <mergeCell ref="D148:D149"/>
    <mergeCell ref="E148:F148"/>
    <mergeCell ref="C22:H22"/>
    <mergeCell ref="D24:E24"/>
    <mergeCell ref="I107:J107"/>
    <mergeCell ref="K107:K108"/>
    <mergeCell ref="C107:C108"/>
    <mergeCell ref="D107:D108"/>
    <mergeCell ref="E107:F107"/>
    <mergeCell ref="A94:K94"/>
    <mergeCell ref="A106:K106"/>
    <mergeCell ref="G107:H107"/>
    <mergeCell ref="A93:K93"/>
    <mergeCell ref="C66:C67"/>
    <mergeCell ref="A80:K80"/>
    <mergeCell ref="K66:K67"/>
    <mergeCell ref="D66:D67"/>
    <mergeCell ref="E66:F66"/>
    <mergeCell ref="A68:K68"/>
    <mergeCell ref="G66:H66"/>
    <mergeCell ref="I66:J66"/>
    <mergeCell ref="A66:A67"/>
    <mergeCell ref="B66:B67"/>
    <mergeCell ref="A81:K81"/>
    <mergeCell ref="A165:B165"/>
    <mergeCell ref="A174:B174"/>
    <mergeCell ref="A107:A108"/>
    <mergeCell ref="B107:B108"/>
    <mergeCell ref="A151:B151"/>
    <mergeCell ref="A158:B158"/>
    <mergeCell ref="A109:K109"/>
    <mergeCell ref="A150:K150"/>
    <mergeCell ref="A146:K146"/>
    <mergeCell ref="G148:H148"/>
    <mergeCell ref="A110:B110"/>
    <mergeCell ref="A117:B117"/>
    <mergeCell ref="A124:B124"/>
    <mergeCell ref="A133:B133"/>
    <mergeCell ref="C148:C149"/>
  </mergeCells>
  <phoneticPr fontId="3" type="noConversion"/>
  <printOptions horizontalCentered="1"/>
  <pageMargins left="0.62992125984251968" right="0.31496062992125984" top="0.82677165354330717" bottom="0.6692913385826772" header="0.51181102362204722" footer="0.51181102362204722"/>
  <pageSetup paperSize="9" scale="70" orientation="portrait" horizontalDpi="4294967295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dimension ref="A1:O299"/>
  <sheetViews>
    <sheetView topLeftCell="A5" zoomScaleSheetLayoutView="90" workbookViewId="0">
      <selection activeCell="P6" sqref="P6"/>
    </sheetView>
  </sheetViews>
  <sheetFormatPr defaultRowHeight="13.5"/>
  <cols>
    <col min="1" max="1" width="10.77734375" style="101" customWidth="1"/>
    <col min="2" max="2" width="9.77734375" style="101" customWidth="1"/>
    <col min="3" max="3" width="4.77734375" style="101" customWidth="1"/>
    <col min="4" max="4" width="4.33203125" style="120" customWidth="1"/>
    <col min="5" max="5" width="7.33203125" style="120" customWidth="1"/>
    <col min="6" max="11" width="6.33203125" style="101" customWidth="1"/>
    <col min="12" max="14" width="8.88671875" style="210"/>
    <col min="15" max="16384" width="8.88671875" style="101"/>
  </cols>
  <sheetData>
    <row r="1" spans="4:4" customFormat="1">
      <c r="D1" s="338"/>
    </row>
    <row r="2" spans="4:4" customFormat="1">
      <c r="D2" s="338"/>
    </row>
    <row r="3" spans="4:4" customFormat="1">
      <c r="D3" s="338"/>
    </row>
    <row r="4" spans="4:4" customFormat="1">
      <c r="D4" s="338"/>
    </row>
    <row r="5" spans="4:4" customFormat="1">
      <c r="D5" s="338"/>
    </row>
    <row r="6" spans="4:4" customFormat="1">
      <c r="D6" s="338"/>
    </row>
    <row r="7" spans="4:4" customFormat="1">
      <c r="D7" s="338"/>
    </row>
    <row r="8" spans="4:4" customFormat="1">
      <c r="D8" s="338"/>
    </row>
    <row r="9" spans="4:4" customFormat="1">
      <c r="D9" s="338"/>
    </row>
    <row r="10" spans="4:4" customFormat="1">
      <c r="D10" s="338"/>
    </row>
    <row r="11" spans="4:4" customFormat="1">
      <c r="D11" s="338"/>
    </row>
    <row r="12" spans="4:4" customFormat="1">
      <c r="D12" s="338"/>
    </row>
    <row r="13" spans="4:4" customFormat="1">
      <c r="D13" s="338"/>
    </row>
    <row r="14" spans="4:4" customFormat="1">
      <c r="D14" s="338"/>
    </row>
    <row r="15" spans="4:4" customFormat="1">
      <c r="D15" s="338"/>
    </row>
    <row r="16" spans="4:4" s="339" customFormat="1" ht="30" customHeight="1">
      <c r="D16" s="387"/>
    </row>
    <row r="17" spans="3:8" s="339" customFormat="1" ht="30" customHeight="1">
      <c r="C17" s="373" t="s">
        <v>276</v>
      </c>
      <c r="D17" s="1830" t="s">
        <v>752</v>
      </c>
      <c r="E17" s="1822"/>
      <c r="F17" s="311" t="s">
        <v>695</v>
      </c>
      <c r="G17" s="374" t="s">
        <v>762</v>
      </c>
      <c r="H17" s="436"/>
    </row>
    <row r="18" spans="3:8" s="339" customFormat="1" ht="30" customHeight="1">
      <c r="C18" s="370">
        <v>1</v>
      </c>
      <c r="D18" s="1844" t="s">
        <v>1490</v>
      </c>
      <c r="E18" s="1825"/>
      <c r="F18" s="371">
        <f>E77</f>
        <v>9090.2999999999993</v>
      </c>
      <c r="G18" s="440" t="s">
        <v>1499</v>
      </c>
      <c r="H18" s="437"/>
    </row>
    <row r="19" spans="3:8" s="339" customFormat="1" ht="30" customHeight="1">
      <c r="C19" s="370">
        <v>2</v>
      </c>
      <c r="D19" s="1844" t="s">
        <v>1491</v>
      </c>
      <c r="E19" s="1825"/>
      <c r="F19" s="371">
        <f>E120</f>
        <v>21051.95</v>
      </c>
      <c r="G19" s="440" t="s">
        <v>1498</v>
      </c>
      <c r="H19" s="437"/>
    </row>
    <row r="20" spans="3:8" s="339" customFormat="1" ht="30" customHeight="1">
      <c r="C20" s="370">
        <v>3</v>
      </c>
      <c r="D20" s="1844" t="s">
        <v>1492</v>
      </c>
      <c r="E20" s="1825"/>
      <c r="F20" s="371">
        <f>E163</f>
        <v>29308.87</v>
      </c>
      <c r="G20" s="548" t="s">
        <v>1500</v>
      </c>
      <c r="H20" s="437"/>
    </row>
    <row r="21" spans="3:8" s="339" customFormat="1" ht="30" customHeight="1">
      <c r="C21" s="370">
        <v>4</v>
      </c>
      <c r="D21" s="1844" t="s">
        <v>1493</v>
      </c>
      <c r="E21" s="1825"/>
      <c r="F21" s="371">
        <f>E207</f>
        <v>41332.93</v>
      </c>
      <c r="G21" s="440" t="s">
        <v>1497</v>
      </c>
      <c r="H21" s="437"/>
    </row>
    <row r="22" spans="3:8" s="339" customFormat="1" ht="30" customHeight="1">
      <c r="C22" s="370">
        <v>5</v>
      </c>
      <c r="D22" s="1845" t="s">
        <v>1494</v>
      </c>
      <c r="E22" s="1846"/>
      <c r="F22" s="371">
        <f>E253</f>
        <v>57500.76</v>
      </c>
      <c r="G22" s="440" t="s">
        <v>1496</v>
      </c>
      <c r="H22" s="437"/>
    </row>
    <row r="23" spans="3:8" s="339" customFormat="1" ht="30" customHeight="1">
      <c r="C23" s="529">
        <v>6</v>
      </c>
      <c r="D23" s="1845" t="s">
        <v>1393</v>
      </c>
      <c r="E23" s="1846"/>
      <c r="F23" s="530">
        <f>E299</f>
        <v>66794.62</v>
      </c>
      <c r="G23" s="531" t="s">
        <v>1495</v>
      </c>
      <c r="H23" s="437"/>
    </row>
    <row r="24" spans="3:8" s="339" customFormat="1" ht="30" customHeight="1">
      <c r="C24" s="546"/>
      <c r="D24" s="1893"/>
      <c r="E24" s="1893"/>
      <c r="F24" s="547"/>
      <c r="G24" s="547"/>
      <c r="H24" s="400"/>
    </row>
    <row r="25" spans="3:8" s="339" customFormat="1" ht="30" customHeight="1">
      <c r="C25" s="401"/>
      <c r="D25" s="1543"/>
      <c r="E25" s="1543"/>
      <c r="F25" s="404"/>
      <c r="G25" s="404"/>
      <c r="H25" s="400"/>
    </row>
    <row r="26" spans="3:8" s="339" customFormat="1" ht="30" customHeight="1">
      <c r="C26" s="401"/>
      <c r="D26" s="401"/>
      <c r="E26" s="401"/>
      <c r="F26" s="404"/>
      <c r="G26" s="404"/>
      <c r="H26" s="400"/>
    </row>
    <row r="27" spans="3:8" s="339" customFormat="1" ht="30" customHeight="1">
      <c r="C27" s="401"/>
      <c r="D27" s="1543"/>
      <c r="E27" s="1543"/>
      <c r="F27" s="404"/>
      <c r="G27" s="404"/>
      <c r="H27" s="400"/>
    </row>
    <row r="28" spans="3:8" customFormat="1">
      <c r="D28" s="338"/>
    </row>
    <row r="29" spans="3:8" customFormat="1">
      <c r="D29" s="338"/>
    </row>
    <row r="30" spans="3:8" customFormat="1">
      <c r="D30" s="338"/>
    </row>
    <row r="31" spans="3:8" customFormat="1">
      <c r="D31" s="338"/>
    </row>
    <row r="32" spans="3:8" customFormat="1">
      <c r="D32" s="338"/>
    </row>
    <row r="33" spans="1:14" customFormat="1">
      <c r="D33" s="338"/>
    </row>
    <row r="34" spans="1:14" customFormat="1">
      <c r="D34" s="338"/>
    </row>
    <row r="35" spans="1:14" customFormat="1">
      <c r="D35" s="338"/>
    </row>
    <row r="36" spans="1:14" customFormat="1">
      <c r="D36" s="338"/>
    </row>
    <row r="37" spans="1:14" customFormat="1">
      <c r="D37" s="338"/>
    </row>
    <row r="38" spans="1:14" customFormat="1">
      <c r="D38" s="338"/>
    </row>
    <row r="39" spans="1:14" ht="26.1" customHeight="1">
      <c r="A39" s="1837" t="s">
        <v>1483</v>
      </c>
      <c r="B39" s="1837"/>
      <c r="C39" s="1837"/>
      <c r="D39" s="1837"/>
      <c r="E39" s="1837"/>
      <c r="F39" s="1837"/>
      <c r="G39" s="1837"/>
      <c r="H39" s="1837"/>
      <c r="I39" s="1837"/>
      <c r="J39" s="1837"/>
      <c r="K39" s="1837"/>
    </row>
    <row r="40" spans="1:14" s="104" customFormat="1" ht="18" customHeight="1">
      <c r="A40" s="102"/>
      <c r="B40" s="102"/>
      <c r="C40" s="102"/>
      <c r="D40" s="103"/>
      <c r="E40" s="103"/>
      <c r="F40" s="102"/>
      <c r="G40" s="102"/>
      <c r="H40" s="102"/>
      <c r="I40" s="102"/>
      <c r="J40" s="102"/>
      <c r="K40" s="124" t="s">
        <v>1396</v>
      </c>
      <c r="L40" s="211"/>
      <c r="M40" s="211"/>
      <c r="N40" s="211"/>
    </row>
    <row r="41" spans="1:14" s="104" customFormat="1" ht="18" customHeight="1">
      <c r="A41" s="1861" t="s">
        <v>1397</v>
      </c>
      <c r="B41" s="1835" t="s">
        <v>1398</v>
      </c>
      <c r="C41" s="1835" t="s">
        <v>1399</v>
      </c>
      <c r="D41" s="1835" t="s">
        <v>1400</v>
      </c>
      <c r="E41" s="1833" t="s">
        <v>1401</v>
      </c>
      <c r="F41" s="1835" t="s">
        <v>1402</v>
      </c>
      <c r="G41" s="1835"/>
      <c r="H41" s="1835" t="s">
        <v>1403</v>
      </c>
      <c r="I41" s="1835"/>
      <c r="J41" s="1835" t="s">
        <v>1404</v>
      </c>
      <c r="K41" s="1840"/>
      <c r="L41" s="211"/>
      <c r="M41" s="211"/>
      <c r="N41" s="211"/>
    </row>
    <row r="42" spans="1:14" s="105" customFormat="1" ht="18" customHeight="1">
      <c r="A42" s="1862"/>
      <c r="B42" s="1836"/>
      <c r="C42" s="1836"/>
      <c r="D42" s="1836"/>
      <c r="E42" s="1834"/>
      <c r="F42" s="398" t="s">
        <v>1405</v>
      </c>
      <c r="G42" s="398" t="s">
        <v>1406</v>
      </c>
      <c r="H42" s="398" t="s">
        <v>1405</v>
      </c>
      <c r="I42" s="398" t="s">
        <v>1406</v>
      </c>
      <c r="J42" s="398" t="s">
        <v>1405</v>
      </c>
      <c r="K42" s="399" t="s">
        <v>1406</v>
      </c>
      <c r="L42" s="137"/>
      <c r="M42" s="137"/>
      <c r="N42" s="137"/>
    </row>
    <row r="43" spans="1:14" s="228" customFormat="1" ht="18" customHeight="1">
      <c r="A43" s="225" t="s">
        <v>1484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7"/>
    </row>
    <row r="44" spans="1:14" s="234" customFormat="1" ht="18" customHeight="1">
      <c r="A44" s="378" t="s">
        <v>1485</v>
      </c>
      <c r="B44" s="383" t="s">
        <v>1486</v>
      </c>
      <c r="C44" s="231">
        <v>1.2</v>
      </c>
      <c r="D44" s="230" t="s">
        <v>869</v>
      </c>
      <c r="E44" s="232">
        <f t="shared" ref="E44:E49" si="0">G44+I44+K44</f>
        <v>1560</v>
      </c>
      <c r="F44" s="230">
        <f ca="1">'8.0자재단가'!$I$60</f>
        <v>1300</v>
      </c>
      <c r="G44" s="232">
        <f>INT(C44*F44)</f>
        <v>1560</v>
      </c>
      <c r="H44" s="230"/>
      <c r="I44" s="230"/>
      <c r="J44" s="230"/>
      <c r="K44" s="233"/>
    </row>
    <row r="45" spans="1:14" s="234" customFormat="1" ht="18" customHeight="1">
      <c r="A45" s="378" t="s">
        <v>872</v>
      </c>
      <c r="B45" s="383" t="s">
        <v>1475</v>
      </c>
      <c r="C45" s="231">
        <v>0.5</v>
      </c>
      <c r="D45" s="230" t="s">
        <v>1014</v>
      </c>
      <c r="E45" s="232">
        <f t="shared" si="0"/>
        <v>150</v>
      </c>
      <c r="F45" s="230">
        <f ca="1">'8.0자재단가'!$I$61</f>
        <v>300</v>
      </c>
      <c r="G45" s="232">
        <f>INT(C45*F45)</f>
        <v>150</v>
      </c>
      <c r="H45" s="230"/>
      <c r="I45" s="230"/>
      <c r="J45" s="230"/>
      <c r="K45" s="233"/>
    </row>
    <row r="46" spans="1:14" s="234" customFormat="1" ht="18" customHeight="1">
      <c r="A46" s="229" t="s">
        <v>837</v>
      </c>
      <c r="B46" s="230"/>
      <c r="C46" s="235">
        <v>2E-3</v>
      </c>
      <c r="D46" s="230" t="s">
        <v>964</v>
      </c>
      <c r="E46" s="232">
        <f t="shared" si="0"/>
        <v>184</v>
      </c>
      <c r="F46" s="232"/>
      <c r="G46" s="232"/>
      <c r="H46" s="232">
        <f ca="1">'11.0시중노임'!$F$4</f>
        <v>92218</v>
      </c>
      <c r="I46" s="232">
        <f>INT(C46*H46)</f>
        <v>184</v>
      </c>
      <c r="J46" s="232"/>
      <c r="K46" s="236"/>
    </row>
    <row r="47" spans="1:14" s="234" customFormat="1" ht="18" customHeight="1">
      <c r="A47" s="229" t="s">
        <v>838</v>
      </c>
      <c r="B47" s="230"/>
      <c r="C47" s="235">
        <v>0.01</v>
      </c>
      <c r="D47" s="230" t="s">
        <v>964</v>
      </c>
      <c r="E47" s="232">
        <f t="shared" si="0"/>
        <v>844</v>
      </c>
      <c r="F47" s="232"/>
      <c r="G47" s="232"/>
      <c r="H47" s="232">
        <f ca="1">'11.0시중노임'!$F$5</f>
        <v>84404</v>
      </c>
      <c r="I47" s="232">
        <f>INT(C47*H47)</f>
        <v>844</v>
      </c>
      <c r="J47" s="230"/>
      <c r="K47" s="233"/>
    </row>
    <row r="48" spans="1:14" s="234" customFormat="1" ht="18" customHeight="1">
      <c r="A48" s="229" t="s">
        <v>839</v>
      </c>
      <c r="B48" s="230"/>
      <c r="C48" s="235">
        <v>0.02</v>
      </c>
      <c r="D48" s="230" t="s">
        <v>964</v>
      </c>
      <c r="E48" s="232">
        <f t="shared" si="0"/>
        <v>1379</v>
      </c>
      <c r="F48" s="232"/>
      <c r="G48" s="232"/>
      <c r="H48" s="232">
        <f ca="1">'11.0시중노임'!$F$6</f>
        <v>68965</v>
      </c>
      <c r="I48" s="232">
        <f>INT(C48*H48)</f>
        <v>1379</v>
      </c>
      <c r="J48" s="230"/>
      <c r="K48" s="233"/>
    </row>
    <row r="49" spans="1:14" s="141" customFormat="1" ht="18" customHeight="1">
      <c r="A49" s="543" t="s">
        <v>1447</v>
      </c>
      <c r="B49" s="139" t="s">
        <v>1448</v>
      </c>
      <c r="C49" s="536">
        <v>3</v>
      </c>
      <c r="D49" s="139" t="s">
        <v>965</v>
      </c>
      <c r="E49" s="112">
        <f t="shared" si="0"/>
        <v>51.3</v>
      </c>
      <c r="F49" s="112">
        <f>SUM(G44:G45)</f>
        <v>1710</v>
      </c>
      <c r="G49" s="112">
        <f>F49*C49/100</f>
        <v>51.3</v>
      </c>
      <c r="H49" s="112"/>
      <c r="I49" s="112"/>
      <c r="J49" s="139"/>
      <c r="K49" s="140"/>
    </row>
    <row r="50" spans="1:14" s="241" customFormat="1" ht="18" customHeight="1">
      <c r="A50" s="237" t="s">
        <v>849</v>
      </c>
      <c r="B50" s="238"/>
      <c r="C50" s="238"/>
      <c r="D50" s="238"/>
      <c r="E50" s="239">
        <f>SUM(E44:E49)</f>
        <v>4168.3</v>
      </c>
      <c r="F50" s="238"/>
      <c r="G50" s="239">
        <f>SUM(G44:G49)</f>
        <v>1761.3</v>
      </c>
      <c r="H50" s="238"/>
      <c r="I50" s="239">
        <f>SUM(I44:I49)</f>
        <v>2407</v>
      </c>
      <c r="J50" s="238"/>
      <c r="K50" s="240"/>
    </row>
    <row r="51" spans="1:14" s="137" customFormat="1" ht="18" customHeight="1">
      <c r="A51" s="138" t="s">
        <v>1432</v>
      </c>
      <c r="B51" s="139"/>
      <c r="C51" s="139"/>
      <c r="D51" s="139"/>
      <c r="E51" s="537"/>
      <c r="F51" s="139"/>
      <c r="G51" s="139"/>
      <c r="H51" s="139"/>
      <c r="I51" s="139"/>
      <c r="J51" s="139"/>
      <c r="K51" s="140"/>
    </row>
    <row r="52" spans="1:14" s="105" customFormat="1" ht="18" customHeight="1">
      <c r="A52" s="544" t="s">
        <v>1451</v>
      </c>
      <c r="B52" s="110" t="s">
        <v>1452</v>
      </c>
      <c r="C52" s="122">
        <v>2.5000000000000001E-2</v>
      </c>
      <c r="D52" s="110" t="s">
        <v>1433</v>
      </c>
      <c r="E52" s="112">
        <f t="shared" ref="E52:E62" si="1">G52+I52+K52</f>
        <v>3000</v>
      </c>
      <c r="F52" s="112">
        <f ca="1">'8.0자재단가'!I48</f>
        <v>120000</v>
      </c>
      <c r="G52" s="112">
        <f>INT(C52*F52)</f>
        <v>3000</v>
      </c>
      <c r="H52" s="112"/>
      <c r="I52" s="112"/>
      <c r="J52" s="112"/>
      <c r="K52" s="126"/>
      <c r="L52" s="137"/>
      <c r="M52" s="137"/>
      <c r="N52" s="137"/>
    </row>
    <row r="53" spans="1:14" s="104" customFormat="1" ht="18" customHeight="1">
      <c r="A53" s="544" t="s">
        <v>1453</v>
      </c>
      <c r="B53" s="110" t="s">
        <v>1454</v>
      </c>
      <c r="C53" s="122">
        <v>0.25</v>
      </c>
      <c r="D53" s="110" t="s">
        <v>1433</v>
      </c>
      <c r="E53" s="535">
        <f t="shared" si="1"/>
        <v>0</v>
      </c>
      <c r="F53" s="112">
        <f ca="1">'8.0자재단가'!I49</f>
        <v>12000</v>
      </c>
      <c r="G53" s="535">
        <v>0</v>
      </c>
      <c r="H53" s="112"/>
      <c r="I53" s="112"/>
      <c r="J53" s="112"/>
      <c r="K53" s="126"/>
      <c r="L53" s="211"/>
      <c r="M53" s="211"/>
      <c r="N53" s="211"/>
    </row>
    <row r="54" spans="1:14" s="104" customFormat="1" ht="18" customHeight="1">
      <c r="A54" s="378" t="s">
        <v>1458</v>
      </c>
      <c r="B54" s="383" t="s">
        <v>1479</v>
      </c>
      <c r="C54" s="136">
        <v>1</v>
      </c>
      <c r="D54" s="110" t="s">
        <v>831</v>
      </c>
      <c r="E54" s="112">
        <f t="shared" si="1"/>
        <v>740</v>
      </c>
      <c r="F54" s="112">
        <f ca="1">'8.0자재단가'!I56</f>
        <v>740</v>
      </c>
      <c r="G54" s="112">
        <f>INT(C54*F54)</f>
        <v>740</v>
      </c>
      <c r="H54" s="112"/>
      <c r="I54" s="112"/>
      <c r="J54" s="112"/>
      <c r="K54" s="126"/>
      <c r="L54" s="211"/>
      <c r="M54" s="212"/>
      <c r="N54" s="212"/>
    </row>
    <row r="55" spans="1:14" s="104" customFormat="1" ht="18" customHeight="1">
      <c r="A55" s="378" t="s">
        <v>1459</v>
      </c>
      <c r="B55" s="383" t="s">
        <v>1461</v>
      </c>
      <c r="C55" s="538">
        <v>0.02</v>
      </c>
      <c r="D55" s="110" t="s">
        <v>831</v>
      </c>
      <c r="E55" s="112">
        <f t="shared" si="1"/>
        <v>320</v>
      </c>
      <c r="F55" s="112">
        <f ca="1">'8.0자재단가'!$I$58</f>
        <v>16000</v>
      </c>
      <c r="G55" s="112">
        <f>INT(C55*F55)</f>
        <v>320</v>
      </c>
      <c r="H55" s="112"/>
      <c r="I55" s="112"/>
      <c r="J55" s="112"/>
      <c r="K55" s="126"/>
      <c r="L55" s="211"/>
      <c r="M55" s="211"/>
      <c r="N55" s="211"/>
    </row>
    <row r="56" spans="1:14" s="104" customFormat="1" ht="18" customHeight="1">
      <c r="A56" s="113" t="s">
        <v>1436</v>
      </c>
      <c r="B56" s="110" t="s">
        <v>1437</v>
      </c>
      <c r="C56" s="122">
        <v>3.0000000000000001E-3</v>
      </c>
      <c r="D56" s="110" t="s">
        <v>1409</v>
      </c>
      <c r="E56" s="112">
        <f t="shared" si="1"/>
        <v>115</v>
      </c>
      <c r="F56" s="112">
        <f ca="1">'9.0중기목록'!$F$14</f>
        <v>13117</v>
      </c>
      <c r="G56" s="112">
        <f ca="1">INT(C56*F56)</f>
        <v>39</v>
      </c>
      <c r="H56" s="112">
        <f ca="1">'9.0중기목록'!$E$14</f>
        <v>17696</v>
      </c>
      <c r="I56" s="112">
        <f t="shared" ref="I56:I61" si="2">INT(C56*H56)</f>
        <v>53</v>
      </c>
      <c r="J56" s="112">
        <f ca="1">'9.0중기목록'!$G$14</f>
        <v>7823</v>
      </c>
      <c r="K56" s="126">
        <f>INT(C56*J56)</f>
        <v>23</v>
      </c>
      <c r="L56" s="211"/>
      <c r="M56" s="211"/>
      <c r="N56" s="211"/>
    </row>
    <row r="57" spans="1:14" s="104" customFormat="1" ht="18" customHeight="1">
      <c r="A57" s="117" t="s">
        <v>1462</v>
      </c>
      <c r="B57" s="110" t="s">
        <v>1463</v>
      </c>
      <c r="C57" s="122">
        <v>3.0000000000000001E-3</v>
      </c>
      <c r="D57" s="110" t="s">
        <v>1409</v>
      </c>
      <c r="E57" s="112">
        <f t="shared" si="1"/>
        <v>126</v>
      </c>
      <c r="F57" s="112">
        <f ca="1">'9.0중기목록'!F48</f>
        <v>10217</v>
      </c>
      <c r="G57" s="112">
        <f ca="1">INT(C57*F57)</f>
        <v>30</v>
      </c>
      <c r="H57" s="112">
        <f ca="1">'9.0중기목록'!E48</f>
        <v>16611</v>
      </c>
      <c r="I57" s="112">
        <f t="shared" si="2"/>
        <v>49</v>
      </c>
      <c r="J57" s="112">
        <f ca="1">'9.0중기목록'!G48</f>
        <v>15971</v>
      </c>
      <c r="K57" s="126">
        <f>INT(C57*J57)</f>
        <v>47</v>
      </c>
      <c r="L57" s="211"/>
      <c r="M57" s="211"/>
      <c r="N57" s="211"/>
    </row>
    <row r="58" spans="1:14" s="104" customFormat="1" ht="18" customHeight="1">
      <c r="A58" s="113" t="s">
        <v>1431</v>
      </c>
      <c r="B58" s="110"/>
      <c r="C58" s="122">
        <v>1E-3</v>
      </c>
      <c r="D58" s="110" t="s">
        <v>1411</v>
      </c>
      <c r="E58" s="112">
        <f t="shared" si="1"/>
        <v>92</v>
      </c>
      <c r="F58" s="112"/>
      <c r="G58" s="112"/>
      <c r="H58" s="112">
        <f ca="1">'11.0시중노임'!$F$4</f>
        <v>92218</v>
      </c>
      <c r="I58" s="112">
        <f t="shared" si="2"/>
        <v>92</v>
      </c>
      <c r="J58" s="112"/>
      <c r="K58" s="126"/>
      <c r="L58" s="211"/>
      <c r="M58" s="211"/>
      <c r="N58" s="211"/>
    </row>
    <row r="59" spans="1:14" s="104" customFormat="1" ht="18" customHeight="1">
      <c r="A59" s="113" t="s">
        <v>1422</v>
      </c>
      <c r="B59" s="110"/>
      <c r="C59" s="122">
        <v>2E-3</v>
      </c>
      <c r="D59" s="110" t="s">
        <v>1411</v>
      </c>
      <c r="E59" s="112">
        <f t="shared" si="1"/>
        <v>168</v>
      </c>
      <c r="F59" s="112"/>
      <c r="G59" s="112"/>
      <c r="H59" s="112">
        <f ca="1">'11.0시중노임'!$F$5</f>
        <v>84404</v>
      </c>
      <c r="I59" s="112">
        <f t="shared" si="2"/>
        <v>168</v>
      </c>
      <c r="J59" s="112"/>
      <c r="K59" s="126"/>
      <c r="L59" s="211"/>
      <c r="M59" s="211"/>
      <c r="N59" s="211"/>
    </row>
    <row r="60" spans="1:14" s="104" customFormat="1" ht="18" customHeight="1">
      <c r="A60" s="113" t="s">
        <v>1439</v>
      </c>
      <c r="B60" s="110"/>
      <c r="C60" s="122">
        <v>1E-3</v>
      </c>
      <c r="D60" s="110" t="s">
        <v>1411</v>
      </c>
      <c r="E60" s="112">
        <f t="shared" si="1"/>
        <v>86</v>
      </c>
      <c r="F60" s="112"/>
      <c r="G60" s="112"/>
      <c r="H60" s="112">
        <f ca="1">'11.0시중노임'!$F$12</f>
        <v>86521</v>
      </c>
      <c r="I60" s="112">
        <f t="shared" si="2"/>
        <v>86</v>
      </c>
      <c r="J60" s="112"/>
      <c r="K60" s="126"/>
      <c r="L60" s="211"/>
      <c r="M60" s="211"/>
      <c r="N60" s="211"/>
    </row>
    <row r="61" spans="1:14" s="104" customFormat="1" ht="18" customHeight="1">
      <c r="A61" s="113" t="s">
        <v>1423</v>
      </c>
      <c r="B61" s="110"/>
      <c r="C61" s="122">
        <v>4.0000000000000001E-3</v>
      </c>
      <c r="D61" s="110" t="s">
        <v>1411</v>
      </c>
      <c r="E61" s="112">
        <f t="shared" si="1"/>
        <v>275</v>
      </c>
      <c r="F61" s="112"/>
      <c r="G61" s="112"/>
      <c r="H61" s="112">
        <f ca="1">'11.0시중노임'!$F$6</f>
        <v>68965</v>
      </c>
      <c r="I61" s="112">
        <f t="shared" si="2"/>
        <v>275</v>
      </c>
      <c r="J61" s="112"/>
      <c r="K61" s="126"/>
      <c r="L61" s="211"/>
      <c r="M61" s="213"/>
      <c r="N61" s="211"/>
    </row>
    <row r="62" spans="1:14" s="134" customFormat="1" ht="18" customHeight="1">
      <c r="A62" s="146" t="s">
        <v>1467</v>
      </c>
      <c r="B62" s="147"/>
      <c r="C62" s="148"/>
      <c r="D62" s="147"/>
      <c r="E62" s="131">
        <f t="shared" si="1"/>
        <v>4922</v>
      </c>
      <c r="F62" s="131"/>
      <c r="G62" s="131">
        <f>SUM(G52:G61)</f>
        <v>4129</v>
      </c>
      <c r="H62" s="131"/>
      <c r="I62" s="131">
        <f>SUM(I52:I61)</f>
        <v>723</v>
      </c>
      <c r="J62" s="131"/>
      <c r="K62" s="149">
        <f>SUM(K52:K61)</f>
        <v>70</v>
      </c>
      <c r="L62" s="214"/>
      <c r="M62" s="214"/>
      <c r="N62" s="214"/>
    </row>
    <row r="63" spans="1:14" s="134" customFormat="1" ht="18" customHeight="1">
      <c r="A63" s="539"/>
      <c r="B63" s="541"/>
      <c r="C63" s="147"/>
      <c r="D63" s="148"/>
      <c r="E63" s="131"/>
      <c r="F63" s="131"/>
      <c r="G63" s="131"/>
      <c r="H63" s="131"/>
      <c r="I63" s="131"/>
      <c r="J63" s="131"/>
      <c r="K63" s="540"/>
      <c r="L63" s="214"/>
      <c r="M63" s="214"/>
      <c r="N63" s="214"/>
    </row>
    <row r="64" spans="1:14" s="134" customFormat="1" ht="18" customHeight="1">
      <c r="A64" s="539"/>
      <c r="B64" s="541"/>
      <c r="C64" s="147"/>
      <c r="D64" s="148"/>
      <c r="E64" s="131"/>
      <c r="F64" s="131"/>
      <c r="G64" s="131"/>
      <c r="H64" s="131"/>
      <c r="I64" s="131"/>
      <c r="J64" s="131"/>
      <c r="K64" s="540"/>
      <c r="L64" s="214"/>
      <c r="M64" s="214"/>
      <c r="N64" s="214"/>
    </row>
    <row r="65" spans="1:14" s="134" customFormat="1" ht="18" customHeight="1">
      <c r="A65" s="539"/>
      <c r="B65" s="541"/>
      <c r="C65" s="147"/>
      <c r="D65" s="148"/>
      <c r="E65" s="131"/>
      <c r="F65" s="131"/>
      <c r="G65" s="131"/>
      <c r="H65" s="131"/>
      <c r="I65" s="131"/>
      <c r="J65" s="131"/>
      <c r="K65" s="540"/>
      <c r="L65" s="214"/>
      <c r="M65" s="214"/>
      <c r="N65" s="214"/>
    </row>
    <row r="66" spans="1:14" s="134" customFormat="1" ht="18" customHeight="1">
      <c r="A66" s="539"/>
      <c r="B66" s="541"/>
      <c r="C66" s="147"/>
      <c r="D66" s="148"/>
      <c r="E66" s="131"/>
      <c r="F66" s="131"/>
      <c r="G66" s="131"/>
      <c r="H66" s="131"/>
      <c r="I66" s="131"/>
      <c r="J66" s="131"/>
      <c r="K66" s="540"/>
      <c r="L66" s="214"/>
      <c r="M66" s="214"/>
      <c r="N66" s="214"/>
    </row>
    <row r="67" spans="1:14" s="134" customFormat="1" ht="18" customHeight="1">
      <c r="A67" s="539"/>
      <c r="B67" s="541"/>
      <c r="C67" s="147"/>
      <c r="D67" s="148"/>
      <c r="E67" s="131"/>
      <c r="F67" s="131"/>
      <c r="G67" s="131"/>
      <c r="H67" s="131"/>
      <c r="I67" s="131"/>
      <c r="J67" s="131"/>
      <c r="K67" s="540"/>
      <c r="L67" s="214"/>
      <c r="M67" s="214"/>
      <c r="N67" s="214"/>
    </row>
    <row r="68" spans="1:14" s="134" customFormat="1" ht="18" customHeight="1">
      <c r="A68" s="539"/>
      <c r="B68" s="541"/>
      <c r="C68" s="147"/>
      <c r="D68" s="148"/>
      <c r="E68" s="131"/>
      <c r="F68" s="131"/>
      <c r="G68" s="131"/>
      <c r="H68" s="131"/>
      <c r="I68" s="131"/>
      <c r="J68" s="131"/>
      <c r="K68" s="540"/>
      <c r="L68" s="214"/>
      <c r="M68" s="214"/>
      <c r="N68" s="214"/>
    </row>
    <row r="69" spans="1:14" s="134" customFormat="1" ht="18" customHeight="1">
      <c r="A69" s="539"/>
      <c r="B69" s="541"/>
      <c r="C69" s="147"/>
      <c r="D69" s="148"/>
      <c r="E69" s="131"/>
      <c r="F69" s="131"/>
      <c r="G69" s="131"/>
      <c r="H69" s="131"/>
      <c r="I69" s="131"/>
      <c r="J69" s="131"/>
      <c r="K69" s="540"/>
      <c r="L69" s="214"/>
      <c r="M69" s="214"/>
      <c r="N69" s="214"/>
    </row>
    <row r="70" spans="1:14" s="134" customFormat="1" ht="18" customHeight="1">
      <c r="A70" s="539"/>
      <c r="B70" s="541"/>
      <c r="C70" s="147"/>
      <c r="D70" s="148"/>
      <c r="E70" s="131"/>
      <c r="F70" s="131"/>
      <c r="G70" s="131"/>
      <c r="H70" s="131"/>
      <c r="I70" s="131"/>
      <c r="J70" s="131"/>
      <c r="K70" s="540"/>
      <c r="L70" s="214"/>
      <c r="M70" s="214"/>
      <c r="N70" s="214"/>
    </row>
    <row r="71" spans="1:14" s="134" customFormat="1" ht="18" customHeight="1">
      <c r="A71" s="539"/>
      <c r="B71" s="541"/>
      <c r="C71" s="147"/>
      <c r="D71" s="148"/>
      <c r="E71" s="131"/>
      <c r="F71" s="131"/>
      <c r="G71" s="131"/>
      <c r="H71" s="131"/>
      <c r="I71" s="131"/>
      <c r="J71" s="131"/>
      <c r="K71" s="540"/>
      <c r="L71" s="214"/>
      <c r="M71" s="214"/>
      <c r="N71" s="214"/>
    </row>
    <row r="72" spans="1:14" s="134" customFormat="1" ht="18" customHeight="1">
      <c r="A72" s="539"/>
      <c r="B72" s="541"/>
      <c r="C72" s="147"/>
      <c r="D72" s="148"/>
      <c r="E72" s="131"/>
      <c r="F72" s="131"/>
      <c r="G72" s="131"/>
      <c r="H72" s="131"/>
      <c r="I72" s="131"/>
      <c r="J72" s="131"/>
      <c r="K72" s="540"/>
      <c r="L72" s="214"/>
      <c r="M72" s="214"/>
      <c r="N72" s="214"/>
    </row>
    <row r="73" spans="1:14" s="134" customFormat="1" ht="18" customHeight="1">
      <c r="A73" s="539"/>
      <c r="B73" s="541"/>
      <c r="C73" s="147"/>
      <c r="D73" s="148"/>
      <c r="E73" s="131"/>
      <c r="F73" s="131"/>
      <c r="G73" s="131"/>
      <c r="H73" s="131"/>
      <c r="I73" s="131"/>
      <c r="J73" s="131"/>
      <c r="K73" s="540"/>
      <c r="L73" s="214"/>
      <c r="M73" s="214"/>
      <c r="N73" s="214"/>
    </row>
    <row r="74" spans="1:14" s="134" customFormat="1" ht="18" customHeight="1">
      <c r="A74" s="539"/>
      <c r="B74" s="541"/>
      <c r="C74" s="147"/>
      <c r="D74" s="148"/>
      <c r="E74" s="131"/>
      <c r="F74" s="131"/>
      <c r="G74" s="131"/>
      <c r="H74" s="131"/>
      <c r="I74" s="131"/>
      <c r="J74" s="131"/>
      <c r="K74" s="540"/>
      <c r="L74" s="214"/>
      <c r="M74" s="214"/>
      <c r="N74" s="214"/>
    </row>
    <row r="75" spans="1:14" s="134" customFormat="1" ht="18" customHeight="1">
      <c r="A75" s="539"/>
      <c r="B75" s="541"/>
      <c r="C75" s="147"/>
      <c r="D75" s="148"/>
      <c r="E75" s="131"/>
      <c r="F75" s="131"/>
      <c r="G75" s="131"/>
      <c r="H75" s="131"/>
      <c r="I75" s="131"/>
      <c r="J75" s="131"/>
      <c r="K75" s="540"/>
      <c r="L75" s="214"/>
      <c r="M75" s="214"/>
      <c r="N75" s="214"/>
    </row>
    <row r="76" spans="1:14" s="104" customFormat="1" ht="18" customHeight="1">
      <c r="A76" s="119"/>
      <c r="B76" s="542"/>
      <c r="C76" s="111"/>
      <c r="D76" s="111"/>
      <c r="E76" s="112"/>
      <c r="F76" s="111"/>
      <c r="G76" s="111"/>
      <c r="H76" s="111"/>
      <c r="I76" s="111"/>
      <c r="J76" s="111"/>
      <c r="K76" s="127"/>
      <c r="L76" s="211"/>
      <c r="M76" s="211"/>
      <c r="N76" s="211"/>
    </row>
    <row r="77" spans="1:14" s="134" customFormat="1" ht="18" customHeight="1">
      <c r="A77" s="128" t="s">
        <v>1440</v>
      </c>
      <c r="B77" s="129"/>
      <c r="C77" s="129"/>
      <c r="D77" s="130"/>
      <c r="E77" s="132">
        <f>E62+E50</f>
        <v>9090.2999999999993</v>
      </c>
      <c r="F77" s="132"/>
      <c r="G77" s="132">
        <f>G62+G50</f>
        <v>5890.3</v>
      </c>
      <c r="H77" s="132"/>
      <c r="I77" s="132">
        <f>I62+I50</f>
        <v>3130</v>
      </c>
      <c r="J77" s="132"/>
      <c r="K77" s="133">
        <f>K62+K50</f>
        <v>70</v>
      </c>
      <c r="L77" s="214"/>
      <c r="M77" s="214"/>
      <c r="N77" s="214"/>
    </row>
    <row r="78" spans="1:14" ht="26.1" customHeight="1">
      <c r="A78" s="1837" t="s">
        <v>1480</v>
      </c>
      <c r="B78" s="1837"/>
      <c r="C78" s="1837"/>
      <c r="D78" s="1837"/>
      <c r="E78" s="1837"/>
      <c r="F78" s="1837"/>
      <c r="G78" s="1837"/>
      <c r="H78" s="1837"/>
      <c r="I78" s="1837"/>
      <c r="J78" s="1837"/>
      <c r="K78" s="1837"/>
    </row>
    <row r="79" spans="1:14" s="104" customFormat="1" ht="13.5" customHeight="1">
      <c r="A79" s="102"/>
      <c r="B79" s="102"/>
      <c r="C79" s="102"/>
      <c r="D79" s="103"/>
      <c r="E79" s="103"/>
      <c r="F79" s="102"/>
      <c r="G79" s="102"/>
      <c r="H79" s="102"/>
      <c r="I79" s="102"/>
      <c r="J79" s="102"/>
      <c r="K79" s="124" t="s">
        <v>1396</v>
      </c>
      <c r="L79" s="211"/>
      <c r="M79" s="211"/>
      <c r="N79" s="211"/>
    </row>
    <row r="80" spans="1:14" s="104" customFormat="1" ht="20.100000000000001" customHeight="1">
      <c r="A80" s="1861" t="s">
        <v>1397</v>
      </c>
      <c r="B80" s="1835" t="s">
        <v>1398</v>
      </c>
      <c r="C80" s="1835" t="s">
        <v>1399</v>
      </c>
      <c r="D80" s="1835" t="s">
        <v>1400</v>
      </c>
      <c r="E80" s="1833" t="s">
        <v>1401</v>
      </c>
      <c r="F80" s="1835" t="s">
        <v>1402</v>
      </c>
      <c r="G80" s="1835"/>
      <c r="H80" s="1835" t="s">
        <v>1403</v>
      </c>
      <c r="I80" s="1835"/>
      <c r="J80" s="1835" t="s">
        <v>1404</v>
      </c>
      <c r="K80" s="1840"/>
      <c r="L80" s="211"/>
      <c r="M80" s="211"/>
      <c r="N80" s="211"/>
    </row>
    <row r="81" spans="1:14" s="105" customFormat="1" ht="20.100000000000001" customHeight="1">
      <c r="A81" s="1862"/>
      <c r="B81" s="1836"/>
      <c r="C81" s="1836"/>
      <c r="D81" s="1836"/>
      <c r="E81" s="1834"/>
      <c r="F81" s="398" t="s">
        <v>1405</v>
      </c>
      <c r="G81" s="398" t="s">
        <v>1406</v>
      </c>
      <c r="H81" s="398" t="s">
        <v>1405</v>
      </c>
      <c r="I81" s="398" t="s">
        <v>1406</v>
      </c>
      <c r="J81" s="398" t="s">
        <v>1405</v>
      </c>
      <c r="K81" s="399" t="s">
        <v>1406</v>
      </c>
      <c r="L81" s="137"/>
      <c r="M81" s="137"/>
      <c r="N81" s="137"/>
    </row>
    <row r="82" spans="1:14" s="228" customFormat="1" ht="20.100000000000001" customHeight="1">
      <c r="A82" s="225" t="s">
        <v>881</v>
      </c>
      <c r="B82" s="226"/>
      <c r="C82" s="226"/>
      <c r="D82" s="226"/>
      <c r="E82" s="226"/>
      <c r="F82" s="226"/>
      <c r="G82" s="226"/>
      <c r="H82" s="226"/>
      <c r="I82" s="226"/>
      <c r="J82" s="226"/>
      <c r="K82" s="227"/>
    </row>
    <row r="83" spans="1:14" s="234" customFormat="1" ht="20.100000000000001" customHeight="1">
      <c r="A83" s="378" t="s">
        <v>1473</v>
      </c>
      <c r="B83" s="383" t="s">
        <v>1482</v>
      </c>
      <c r="C83" s="231">
        <v>1.2</v>
      </c>
      <c r="D83" s="230" t="s">
        <v>869</v>
      </c>
      <c r="E83" s="232">
        <f t="shared" ref="E83:E88" si="3">G83+I83+K83</f>
        <v>600</v>
      </c>
      <c r="F83" s="230">
        <f ca="1">'8.0자재단가'!$I$59</f>
        <v>500</v>
      </c>
      <c r="G83" s="232">
        <f>INT(C83*F83)</f>
        <v>600</v>
      </c>
      <c r="H83" s="230"/>
      <c r="I83" s="230"/>
      <c r="J83" s="230"/>
      <c r="K83" s="233"/>
    </row>
    <row r="84" spans="1:14" s="234" customFormat="1" ht="20.100000000000001" customHeight="1">
      <c r="A84" s="378" t="s">
        <v>872</v>
      </c>
      <c r="B84" s="383" t="s">
        <v>1475</v>
      </c>
      <c r="C84" s="231">
        <v>0.5</v>
      </c>
      <c r="D84" s="230" t="s">
        <v>1014</v>
      </c>
      <c r="E84" s="232">
        <f t="shared" si="3"/>
        <v>150</v>
      </c>
      <c r="F84" s="230">
        <f ca="1">'8.0자재단가'!$I$61</f>
        <v>300</v>
      </c>
      <c r="G84" s="232">
        <f>INT(C84*F84)</f>
        <v>150</v>
      </c>
      <c r="H84" s="230"/>
      <c r="I84" s="230"/>
      <c r="J84" s="230"/>
      <c r="K84" s="233"/>
    </row>
    <row r="85" spans="1:14" s="234" customFormat="1" ht="20.100000000000001" customHeight="1">
      <c r="A85" s="229" t="s">
        <v>837</v>
      </c>
      <c r="B85" s="230"/>
      <c r="C85" s="235">
        <v>2E-3</v>
      </c>
      <c r="D85" s="230" t="s">
        <v>964</v>
      </c>
      <c r="E85" s="232">
        <f t="shared" si="3"/>
        <v>184</v>
      </c>
      <c r="F85" s="232"/>
      <c r="G85" s="232"/>
      <c r="H85" s="232">
        <f ca="1">'11.0시중노임'!$F$4</f>
        <v>92218</v>
      </c>
      <c r="I85" s="232">
        <f>INT(C85*H85)</f>
        <v>184</v>
      </c>
      <c r="J85" s="232"/>
      <c r="K85" s="236"/>
    </row>
    <row r="86" spans="1:14" s="234" customFormat="1" ht="20.100000000000001" customHeight="1">
      <c r="A86" s="229" t="s">
        <v>838</v>
      </c>
      <c r="B86" s="230"/>
      <c r="C86" s="235">
        <v>0.01</v>
      </c>
      <c r="D86" s="230" t="s">
        <v>964</v>
      </c>
      <c r="E86" s="232">
        <f t="shared" si="3"/>
        <v>844</v>
      </c>
      <c r="F86" s="232"/>
      <c r="G86" s="232"/>
      <c r="H86" s="232">
        <f ca="1">'11.0시중노임'!$F$5</f>
        <v>84404</v>
      </c>
      <c r="I86" s="232">
        <f>INT(C86*H86)</f>
        <v>844</v>
      </c>
      <c r="J86" s="230"/>
      <c r="K86" s="233"/>
    </row>
    <row r="87" spans="1:14" s="234" customFormat="1" ht="20.100000000000001" customHeight="1">
      <c r="A87" s="229" t="s">
        <v>839</v>
      </c>
      <c r="B87" s="230"/>
      <c r="C87" s="235">
        <v>0.02</v>
      </c>
      <c r="D87" s="230" t="s">
        <v>964</v>
      </c>
      <c r="E87" s="232">
        <f t="shared" si="3"/>
        <v>1379</v>
      </c>
      <c r="F87" s="232"/>
      <c r="G87" s="232"/>
      <c r="H87" s="232">
        <f ca="1">'11.0시중노임'!$F$6</f>
        <v>68965</v>
      </c>
      <c r="I87" s="232">
        <f>INT(C87*H87)</f>
        <v>1379</v>
      </c>
      <c r="J87" s="230"/>
      <c r="K87" s="233"/>
    </row>
    <row r="88" spans="1:14" s="141" customFormat="1" ht="15" customHeight="1">
      <c r="A88" s="543" t="s">
        <v>1447</v>
      </c>
      <c r="B88" s="139" t="s">
        <v>1448</v>
      </c>
      <c r="C88" s="536">
        <v>3</v>
      </c>
      <c r="D88" s="139" t="s">
        <v>965</v>
      </c>
      <c r="E88" s="112">
        <f t="shared" si="3"/>
        <v>22.5</v>
      </c>
      <c r="F88" s="112">
        <f>SUM(G83:G84)</f>
        <v>750</v>
      </c>
      <c r="G88" s="112">
        <f>F88*C88/100</f>
        <v>22.5</v>
      </c>
      <c r="H88" s="112"/>
      <c r="I88" s="112"/>
      <c r="J88" s="139"/>
      <c r="K88" s="140"/>
    </row>
    <row r="89" spans="1:14" s="241" customFormat="1" ht="20.100000000000001" customHeight="1">
      <c r="A89" s="237" t="s">
        <v>849</v>
      </c>
      <c r="B89" s="238"/>
      <c r="C89" s="238"/>
      <c r="D89" s="238"/>
      <c r="E89" s="239">
        <f>SUM(E83:E88)</f>
        <v>3179.5</v>
      </c>
      <c r="F89" s="238"/>
      <c r="G89" s="239">
        <f>SUM(G83:G88)</f>
        <v>772.5</v>
      </c>
      <c r="H89" s="238"/>
      <c r="I89" s="239">
        <f>SUM(I83:I88)</f>
        <v>2407</v>
      </c>
      <c r="J89" s="238"/>
      <c r="K89" s="240"/>
    </row>
    <row r="90" spans="1:14" s="137" customFormat="1" ht="15" customHeight="1">
      <c r="A90" s="138" t="s">
        <v>1432</v>
      </c>
      <c r="B90" s="139"/>
      <c r="C90" s="139"/>
      <c r="D90" s="139"/>
      <c r="E90" s="537"/>
      <c r="F90" s="139"/>
      <c r="G90" s="139"/>
      <c r="H90" s="139"/>
      <c r="I90" s="139"/>
      <c r="J90" s="139"/>
      <c r="K90" s="140"/>
    </row>
    <row r="91" spans="1:14" s="105" customFormat="1" ht="15" customHeight="1">
      <c r="A91" s="544" t="s">
        <v>1451</v>
      </c>
      <c r="B91" s="110" t="s">
        <v>1452</v>
      </c>
      <c r="C91" s="122">
        <v>0.03</v>
      </c>
      <c r="D91" s="110" t="s">
        <v>1433</v>
      </c>
      <c r="E91" s="112">
        <f t="shared" ref="E91:E106" si="4">G91+I91+K91</f>
        <v>3600</v>
      </c>
      <c r="F91" s="112">
        <f ca="1">'8.0자재단가'!I48</f>
        <v>120000</v>
      </c>
      <c r="G91" s="112">
        <f>INT(C91*F91)</f>
        <v>3600</v>
      </c>
      <c r="H91" s="112"/>
      <c r="I91" s="112"/>
      <c r="J91" s="112"/>
      <c r="K91" s="126"/>
      <c r="L91" s="137"/>
      <c r="M91" s="137"/>
      <c r="N91" s="137"/>
    </row>
    <row r="92" spans="1:14" s="104" customFormat="1" ht="15" customHeight="1">
      <c r="A92" s="544" t="s">
        <v>1453</v>
      </c>
      <c r="B92" s="110" t="s">
        <v>1454</v>
      </c>
      <c r="C92" s="122">
        <v>0.3</v>
      </c>
      <c r="D92" s="110" t="s">
        <v>1433</v>
      </c>
      <c r="E92" s="535">
        <f t="shared" si="4"/>
        <v>0</v>
      </c>
      <c r="F92" s="535">
        <f ca="1">'8.0자재단가'!I49</f>
        <v>12000</v>
      </c>
      <c r="G92" s="535">
        <v>0</v>
      </c>
      <c r="H92" s="112"/>
      <c r="I92" s="112"/>
      <c r="J92" s="112"/>
      <c r="K92" s="126"/>
      <c r="L92" s="211"/>
      <c r="M92" s="211"/>
      <c r="N92" s="211"/>
    </row>
    <row r="93" spans="1:14" s="104" customFormat="1" ht="15" customHeight="1">
      <c r="A93" s="378" t="s">
        <v>1455</v>
      </c>
      <c r="B93" s="383" t="s">
        <v>1456</v>
      </c>
      <c r="C93" s="122"/>
      <c r="D93" s="110" t="s">
        <v>1470</v>
      </c>
      <c r="E93" s="535">
        <f t="shared" si="4"/>
        <v>0</v>
      </c>
      <c r="F93" s="535">
        <f ca="1">'8.0자재단가'!$I$50</f>
        <v>1500</v>
      </c>
      <c r="G93" s="535">
        <v>0</v>
      </c>
      <c r="H93" s="112"/>
      <c r="I93" s="112"/>
      <c r="J93" s="112"/>
      <c r="K93" s="126"/>
      <c r="L93" s="211"/>
      <c r="M93" s="211"/>
      <c r="N93" s="211"/>
    </row>
    <row r="94" spans="1:14" s="104" customFormat="1" ht="15" customHeight="1">
      <c r="A94" s="378" t="s">
        <v>1458</v>
      </c>
      <c r="B94" s="383" t="s">
        <v>1479</v>
      </c>
      <c r="C94" s="136">
        <v>10</v>
      </c>
      <c r="D94" s="110" t="s">
        <v>831</v>
      </c>
      <c r="E94" s="112">
        <f t="shared" si="4"/>
        <v>7400</v>
      </c>
      <c r="F94" s="112">
        <f ca="1">'8.0자재단가'!I55</f>
        <v>740</v>
      </c>
      <c r="G94" s="112">
        <f t="shared" ref="G94:G99" si="5">INT(C94*F94)</f>
        <v>7400</v>
      </c>
      <c r="H94" s="112"/>
      <c r="I94" s="112"/>
      <c r="J94" s="112"/>
      <c r="K94" s="126"/>
      <c r="L94" s="211"/>
      <c r="M94" s="212"/>
      <c r="N94" s="212"/>
    </row>
    <row r="95" spans="1:14" s="104" customFormat="1" ht="15" customHeight="1">
      <c r="A95" s="378" t="s">
        <v>1459</v>
      </c>
      <c r="B95" s="383" t="s">
        <v>1461</v>
      </c>
      <c r="C95" s="538">
        <v>0.2</v>
      </c>
      <c r="D95" s="110" t="s">
        <v>831</v>
      </c>
      <c r="E95" s="112">
        <f t="shared" si="4"/>
        <v>3200</v>
      </c>
      <c r="F95" s="112">
        <f ca="1">'8.0자재단가'!$I$57</f>
        <v>16000</v>
      </c>
      <c r="G95" s="112">
        <f t="shared" si="5"/>
        <v>3200</v>
      </c>
      <c r="H95" s="112"/>
      <c r="I95" s="112"/>
      <c r="J95" s="112"/>
      <c r="K95" s="126"/>
      <c r="L95" s="211"/>
      <c r="M95" s="211"/>
      <c r="N95" s="211"/>
    </row>
    <row r="96" spans="1:14" s="104" customFormat="1" ht="15" customHeight="1">
      <c r="A96" s="113" t="s">
        <v>1436</v>
      </c>
      <c r="B96" s="110" t="s">
        <v>1437</v>
      </c>
      <c r="C96" s="122">
        <v>8.0000000000000002E-3</v>
      </c>
      <c r="D96" s="110" t="s">
        <v>1409</v>
      </c>
      <c r="E96" s="112">
        <f t="shared" si="4"/>
        <v>307</v>
      </c>
      <c r="F96" s="112">
        <f ca="1">'9.0중기목록'!$F$14</f>
        <v>13117</v>
      </c>
      <c r="G96" s="112">
        <f t="shared" si="5"/>
        <v>104</v>
      </c>
      <c r="H96" s="112">
        <f ca="1">'9.0중기목록'!$E$14</f>
        <v>17696</v>
      </c>
      <c r="I96" s="112">
        <f t="shared" ref="I96:I103" si="6">INT(C96*H96)</f>
        <v>141</v>
      </c>
      <c r="J96" s="112">
        <f ca="1">'9.0중기목록'!$G$14</f>
        <v>7823</v>
      </c>
      <c r="K96" s="126">
        <f>INT(C96*J96)</f>
        <v>62</v>
      </c>
      <c r="L96" s="211"/>
      <c r="M96" s="211"/>
      <c r="N96" s="211"/>
    </row>
    <row r="97" spans="1:15" s="104" customFormat="1" ht="15" customHeight="1">
      <c r="A97" s="117" t="s">
        <v>1438</v>
      </c>
      <c r="B97" s="110" t="s">
        <v>1466</v>
      </c>
      <c r="C97" s="122">
        <f>C96</f>
        <v>8.0000000000000002E-3</v>
      </c>
      <c r="D97" s="110" t="s">
        <v>1409</v>
      </c>
      <c r="E97" s="112">
        <f t="shared" si="4"/>
        <v>371</v>
      </c>
      <c r="F97" s="112">
        <f ca="1">'9.0중기목록'!$F$38</f>
        <v>19373</v>
      </c>
      <c r="G97" s="112">
        <f t="shared" si="5"/>
        <v>154</v>
      </c>
      <c r="H97" s="112">
        <f ca="1">'9.0중기목록'!$E$38</f>
        <v>17696</v>
      </c>
      <c r="I97" s="112">
        <f t="shared" si="6"/>
        <v>141</v>
      </c>
      <c r="J97" s="112">
        <f ca="1">'9.0중기목록'!$G$38</f>
        <v>9529</v>
      </c>
      <c r="K97" s="126">
        <f>INT(C97*J97)</f>
        <v>76</v>
      </c>
      <c r="L97" s="211"/>
      <c r="M97" s="213"/>
      <c r="N97" s="211"/>
    </row>
    <row r="98" spans="1:15" s="104" customFormat="1" ht="15" customHeight="1">
      <c r="A98" s="121" t="s">
        <v>1434</v>
      </c>
      <c r="B98" s="110" t="s">
        <v>1435</v>
      </c>
      <c r="C98" s="122">
        <f>C97</f>
        <v>8.0000000000000002E-3</v>
      </c>
      <c r="D98" s="110" t="s">
        <v>1409</v>
      </c>
      <c r="E98" s="112">
        <f t="shared" si="4"/>
        <v>276</v>
      </c>
      <c r="F98" s="112">
        <f ca="1">'9.0중기목록'!$F$12</f>
        <v>6640</v>
      </c>
      <c r="G98" s="112">
        <f t="shared" si="5"/>
        <v>53</v>
      </c>
      <c r="H98" s="112">
        <f ca="1">'9.0중기목록'!$E$12</f>
        <v>17696</v>
      </c>
      <c r="I98" s="112">
        <f t="shared" si="6"/>
        <v>141</v>
      </c>
      <c r="J98" s="112">
        <f ca="1">'9.0중기목록'!$G$12</f>
        <v>10362</v>
      </c>
      <c r="K98" s="126">
        <f>INT(C98*J98)</f>
        <v>82</v>
      </c>
      <c r="L98" s="137"/>
      <c r="M98" s="137"/>
      <c r="N98" s="137"/>
      <c r="O98" s="105"/>
    </row>
    <row r="99" spans="1:15" s="104" customFormat="1" ht="15" customHeight="1">
      <c r="A99" s="117" t="s">
        <v>1462</v>
      </c>
      <c r="B99" s="110" t="s">
        <v>1463</v>
      </c>
      <c r="C99" s="122">
        <f>C98</f>
        <v>8.0000000000000002E-3</v>
      </c>
      <c r="D99" s="110" t="s">
        <v>1409</v>
      </c>
      <c r="E99" s="112">
        <f t="shared" si="4"/>
        <v>340</v>
      </c>
      <c r="F99" s="112">
        <f>F57</f>
        <v>10217</v>
      </c>
      <c r="G99" s="112">
        <f t="shared" si="5"/>
        <v>81</v>
      </c>
      <c r="H99" s="112">
        <f>H57</f>
        <v>16611</v>
      </c>
      <c r="I99" s="112">
        <f t="shared" si="6"/>
        <v>132</v>
      </c>
      <c r="J99" s="112">
        <f>J57</f>
        <v>15971</v>
      </c>
      <c r="K99" s="126">
        <f>INT(C99*J99)</f>
        <v>127</v>
      </c>
      <c r="L99" s="211"/>
      <c r="M99" s="211"/>
      <c r="N99" s="211"/>
    </row>
    <row r="100" spans="1:15" s="104" customFormat="1" ht="15" customHeight="1">
      <c r="A100" s="113" t="s">
        <v>1431</v>
      </c>
      <c r="B100" s="110"/>
      <c r="C100" s="122">
        <v>3.0000000000000001E-3</v>
      </c>
      <c r="D100" s="110" t="s">
        <v>1411</v>
      </c>
      <c r="E100" s="112">
        <f t="shared" si="4"/>
        <v>276</v>
      </c>
      <c r="F100" s="112"/>
      <c r="G100" s="112"/>
      <c r="H100" s="112">
        <f ca="1">'11.0시중노임'!$F$4</f>
        <v>92218</v>
      </c>
      <c r="I100" s="112">
        <f t="shared" si="6"/>
        <v>276</v>
      </c>
      <c r="J100" s="112"/>
      <c r="K100" s="126"/>
      <c r="L100" s="211"/>
      <c r="M100" s="211"/>
      <c r="N100" s="211"/>
    </row>
    <row r="101" spans="1:15" s="104" customFormat="1" ht="15" customHeight="1">
      <c r="A101" s="113" t="s">
        <v>1422</v>
      </c>
      <c r="B101" s="110"/>
      <c r="C101" s="122">
        <v>6.0000000000000001E-3</v>
      </c>
      <c r="D101" s="110" t="s">
        <v>1411</v>
      </c>
      <c r="E101" s="112">
        <f t="shared" si="4"/>
        <v>506</v>
      </c>
      <c r="F101" s="112"/>
      <c r="G101" s="112"/>
      <c r="H101" s="112">
        <f ca="1">'11.0시중노임'!$F$5</f>
        <v>84404</v>
      </c>
      <c r="I101" s="112">
        <f t="shared" si="6"/>
        <v>506</v>
      </c>
      <c r="J101" s="112"/>
      <c r="K101" s="126"/>
      <c r="L101" s="211"/>
      <c r="M101" s="211"/>
      <c r="N101" s="211"/>
    </row>
    <row r="102" spans="1:15" s="104" customFormat="1" ht="15" customHeight="1">
      <c r="A102" s="113" t="s">
        <v>1439</v>
      </c>
      <c r="B102" s="110"/>
      <c r="C102" s="122">
        <v>3.0000000000000001E-3</v>
      </c>
      <c r="D102" s="110" t="s">
        <v>1411</v>
      </c>
      <c r="E102" s="112">
        <f t="shared" si="4"/>
        <v>259</v>
      </c>
      <c r="F102" s="112"/>
      <c r="G102" s="112"/>
      <c r="H102" s="112">
        <f ca="1">'11.0시중노임'!$F$12</f>
        <v>86521</v>
      </c>
      <c r="I102" s="112">
        <f t="shared" si="6"/>
        <v>259</v>
      </c>
      <c r="J102" s="112"/>
      <c r="K102" s="126"/>
      <c r="L102" s="211"/>
      <c r="M102" s="211"/>
      <c r="N102" s="211"/>
    </row>
    <row r="103" spans="1:15" s="104" customFormat="1" ht="15" customHeight="1">
      <c r="A103" s="113" t="s">
        <v>1423</v>
      </c>
      <c r="B103" s="110"/>
      <c r="C103" s="122">
        <v>1.2E-2</v>
      </c>
      <c r="D103" s="110" t="s">
        <v>1411</v>
      </c>
      <c r="E103" s="112">
        <f t="shared" si="4"/>
        <v>827</v>
      </c>
      <c r="F103" s="112"/>
      <c r="G103" s="112"/>
      <c r="H103" s="112">
        <f ca="1">'11.0시중노임'!$F$6</f>
        <v>68965</v>
      </c>
      <c r="I103" s="112">
        <f t="shared" si="6"/>
        <v>827</v>
      </c>
      <c r="J103" s="112"/>
      <c r="K103" s="126"/>
      <c r="L103" s="211"/>
      <c r="M103" s="213"/>
      <c r="N103" s="211"/>
    </row>
    <row r="104" spans="1:15" s="141" customFormat="1" ht="15" customHeight="1">
      <c r="A104" s="117" t="s">
        <v>1447</v>
      </c>
      <c r="B104" s="139" t="s">
        <v>1448</v>
      </c>
      <c r="C104" s="536">
        <v>3</v>
      </c>
      <c r="D104" s="139" t="s">
        <v>965</v>
      </c>
      <c r="E104" s="112">
        <f t="shared" si="4"/>
        <v>437.76</v>
      </c>
      <c r="F104" s="112">
        <f>SUM(G91:G99)</f>
        <v>14592</v>
      </c>
      <c r="G104" s="112">
        <f>F104*C104/100</f>
        <v>437.76</v>
      </c>
      <c r="H104" s="112"/>
      <c r="I104" s="112"/>
      <c r="J104" s="139"/>
      <c r="K104" s="140"/>
    </row>
    <row r="105" spans="1:15" s="141" customFormat="1" ht="15" customHeight="1">
      <c r="A105" s="117" t="s">
        <v>1449</v>
      </c>
      <c r="B105" s="139" t="s">
        <v>1450</v>
      </c>
      <c r="C105" s="536">
        <v>3</v>
      </c>
      <c r="D105" s="139" t="s">
        <v>965</v>
      </c>
      <c r="E105" s="112">
        <f t="shared" si="4"/>
        <v>72.69</v>
      </c>
      <c r="F105" s="112"/>
      <c r="G105" s="112"/>
      <c r="H105" s="112">
        <f>SUM(I96:I103)</f>
        <v>2423</v>
      </c>
      <c r="I105" s="112">
        <f>H105*C105/100</f>
        <v>72.69</v>
      </c>
      <c r="J105" s="139"/>
      <c r="K105" s="140"/>
    </row>
    <row r="106" spans="1:15" s="134" customFormat="1" ht="15" customHeight="1">
      <c r="A106" s="146" t="s">
        <v>1467</v>
      </c>
      <c r="B106" s="147"/>
      <c r="C106" s="148"/>
      <c r="D106" s="147"/>
      <c r="E106" s="131">
        <f t="shared" si="4"/>
        <v>17872.45</v>
      </c>
      <c r="F106" s="131"/>
      <c r="G106" s="131">
        <f>SUM(G91:G105)</f>
        <v>15029.76</v>
      </c>
      <c r="H106" s="131"/>
      <c r="I106" s="131">
        <f>SUM(I91:I105)</f>
        <v>2495.69</v>
      </c>
      <c r="J106" s="131"/>
      <c r="K106" s="149">
        <f>SUM(K91:K105)</f>
        <v>347</v>
      </c>
      <c r="L106" s="214"/>
      <c r="M106" s="214"/>
      <c r="N106" s="214"/>
    </row>
    <row r="107" spans="1:15" s="134" customFormat="1" ht="15" customHeight="1">
      <c r="A107" s="539"/>
      <c r="B107" s="541"/>
      <c r="C107" s="147"/>
      <c r="D107" s="148"/>
      <c r="E107" s="131"/>
      <c r="F107" s="131"/>
      <c r="G107" s="131"/>
      <c r="H107" s="131"/>
      <c r="I107" s="131"/>
      <c r="J107" s="131"/>
      <c r="K107" s="540"/>
      <c r="L107" s="214"/>
      <c r="M107" s="214"/>
      <c r="N107" s="214"/>
    </row>
    <row r="108" spans="1:15" s="134" customFormat="1" ht="15" customHeight="1">
      <c r="A108" s="539"/>
      <c r="B108" s="541"/>
      <c r="C108" s="147"/>
      <c r="D108" s="148"/>
      <c r="E108" s="131"/>
      <c r="F108" s="131"/>
      <c r="G108" s="131"/>
      <c r="H108" s="131"/>
      <c r="I108" s="131"/>
      <c r="J108" s="131"/>
      <c r="K108" s="540"/>
      <c r="L108" s="214"/>
      <c r="M108" s="214"/>
      <c r="N108" s="214"/>
    </row>
    <row r="109" spans="1:15" s="134" customFormat="1" ht="15" customHeight="1">
      <c r="A109" s="539"/>
      <c r="B109" s="541"/>
      <c r="C109" s="147"/>
      <c r="D109" s="148"/>
      <c r="E109" s="131"/>
      <c r="F109" s="131"/>
      <c r="G109" s="131"/>
      <c r="H109" s="131"/>
      <c r="I109" s="131"/>
      <c r="J109" s="131"/>
      <c r="K109" s="540"/>
      <c r="L109" s="214"/>
      <c r="M109" s="214"/>
      <c r="N109" s="214"/>
    </row>
    <row r="110" spans="1:15" s="134" customFormat="1" ht="15" customHeight="1">
      <c r="A110" s="539"/>
      <c r="B110" s="541"/>
      <c r="C110" s="147"/>
      <c r="D110" s="148"/>
      <c r="E110" s="131"/>
      <c r="F110" s="131"/>
      <c r="G110" s="131"/>
      <c r="H110" s="131"/>
      <c r="I110" s="131"/>
      <c r="J110" s="131"/>
      <c r="K110" s="540"/>
      <c r="L110" s="214"/>
      <c r="M110" s="214"/>
      <c r="N110" s="214"/>
    </row>
    <row r="111" spans="1:15" s="134" customFormat="1" ht="15" customHeight="1">
      <c r="A111" s="539"/>
      <c r="B111" s="541"/>
      <c r="C111" s="147"/>
      <c r="D111" s="148"/>
      <c r="E111" s="131"/>
      <c r="F111" s="131"/>
      <c r="G111" s="131"/>
      <c r="H111" s="131"/>
      <c r="I111" s="131"/>
      <c r="J111" s="131"/>
      <c r="K111" s="540"/>
      <c r="L111" s="214"/>
      <c r="M111" s="214"/>
      <c r="N111" s="214"/>
    </row>
    <row r="112" spans="1:15" s="134" customFormat="1" ht="15" customHeight="1">
      <c r="A112" s="539"/>
      <c r="B112" s="541"/>
      <c r="C112" s="147"/>
      <c r="D112" s="148"/>
      <c r="E112" s="131"/>
      <c r="F112" s="131"/>
      <c r="G112" s="131"/>
      <c r="H112" s="131"/>
      <c r="I112" s="131"/>
      <c r="J112" s="131"/>
      <c r="K112" s="540"/>
      <c r="L112" s="214"/>
      <c r="M112" s="214"/>
      <c r="N112" s="214"/>
    </row>
    <row r="113" spans="1:14" s="134" customFormat="1" ht="15" customHeight="1">
      <c r="A113" s="539"/>
      <c r="B113" s="541"/>
      <c r="C113" s="147"/>
      <c r="D113" s="148"/>
      <c r="E113" s="131"/>
      <c r="F113" s="131"/>
      <c r="G113" s="131"/>
      <c r="H113" s="131"/>
      <c r="I113" s="131"/>
      <c r="J113" s="131"/>
      <c r="K113" s="540"/>
      <c r="L113" s="214"/>
      <c r="M113" s="214"/>
      <c r="N113" s="214"/>
    </row>
    <row r="114" spans="1:14" s="134" customFormat="1" ht="15" customHeight="1">
      <c r="A114" s="539"/>
      <c r="B114" s="541"/>
      <c r="C114" s="147"/>
      <c r="D114" s="148"/>
      <c r="E114" s="131"/>
      <c r="F114" s="131"/>
      <c r="G114" s="131"/>
      <c r="H114" s="131"/>
      <c r="I114" s="131"/>
      <c r="J114" s="131"/>
      <c r="K114" s="540"/>
      <c r="L114" s="214"/>
      <c r="M114" s="214"/>
      <c r="N114" s="214"/>
    </row>
    <row r="115" spans="1:14" s="134" customFormat="1" ht="15" customHeight="1">
      <c r="A115" s="539"/>
      <c r="B115" s="541"/>
      <c r="C115" s="147"/>
      <c r="D115" s="148"/>
      <c r="E115" s="131"/>
      <c r="F115" s="131"/>
      <c r="G115" s="131"/>
      <c r="H115" s="131"/>
      <c r="I115" s="131"/>
      <c r="J115" s="131"/>
      <c r="K115" s="540"/>
      <c r="L115" s="214"/>
      <c r="M115" s="214"/>
      <c r="N115" s="214"/>
    </row>
    <row r="116" spans="1:14" s="134" customFormat="1" ht="15" customHeight="1">
      <c r="A116" s="539"/>
      <c r="B116" s="541"/>
      <c r="C116" s="147"/>
      <c r="D116" s="148"/>
      <c r="E116" s="131"/>
      <c r="F116" s="131"/>
      <c r="G116" s="131"/>
      <c r="H116" s="131"/>
      <c r="I116" s="131"/>
      <c r="J116" s="131"/>
      <c r="K116" s="540"/>
      <c r="L116" s="214"/>
      <c r="M116" s="214"/>
      <c r="N116" s="214"/>
    </row>
    <row r="117" spans="1:14" s="134" customFormat="1" ht="15" customHeight="1">
      <c r="A117" s="539"/>
      <c r="B117" s="541"/>
      <c r="C117" s="147"/>
      <c r="D117" s="148"/>
      <c r="E117" s="131"/>
      <c r="F117" s="131"/>
      <c r="G117" s="131"/>
      <c r="H117" s="131"/>
      <c r="I117" s="131"/>
      <c r="J117" s="131"/>
      <c r="K117" s="540"/>
      <c r="L117" s="214"/>
      <c r="M117" s="214"/>
      <c r="N117" s="214"/>
    </row>
    <row r="118" spans="1:14" s="134" customFormat="1" ht="15" customHeight="1">
      <c r="A118" s="539"/>
      <c r="B118" s="541"/>
      <c r="C118" s="147"/>
      <c r="D118" s="148"/>
      <c r="E118" s="131"/>
      <c r="F118" s="131"/>
      <c r="G118" s="131"/>
      <c r="H118" s="131"/>
      <c r="I118" s="131"/>
      <c r="J118" s="131"/>
      <c r="K118" s="540"/>
      <c r="L118" s="214"/>
      <c r="M118" s="214"/>
      <c r="N118" s="214"/>
    </row>
    <row r="119" spans="1:14" s="104" customFormat="1" ht="15" customHeight="1">
      <c r="A119" s="119"/>
      <c r="B119" s="542"/>
      <c r="C119" s="111"/>
      <c r="D119" s="111"/>
      <c r="E119" s="112"/>
      <c r="F119" s="111"/>
      <c r="G119" s="111"/>
      <c r="H119" s="111"/>
      <c r="I119" s="111"/>
      <c r="J119" s="111"/>
      <c r="K119" s="127"/>
      <c r="L119" s="211"/>
      <c r="M119" s="211"/>
      <c r="N119" s="211"/>
    </row>
    <row r="120" spans="1:14" s="134" customFormat="1" ht="15" customHeight="1">
      <c r="A120" s="128" t="s">
        <v>1440</v>
      </c>
      <c r="B120" s="129"/>
      <c r="C120" s="129"/>
      <c r="D120" s="130"/>
      <c r="E120" s="132">
        <f>E106+E89</f>
        <v>21051.95</v>
      </c>
      <c r="F120" s="132"/>
      <c r="G120" s="132">
        <f>G106+G89</f>
        <v>15802.26</v>
      </c>
      <c r="H120" s="132"/>
      <c r="I120" s="132">
        <f>I106+I89</f>
        <v>4902.6900000000005</v>
      </c>
      <c r="J120" s="132"/>
      <c r="K120" s="133">
        <f>K106+K89</f>
        <v>347</v>
      </c>
      <c r="L120" s="214"/>
      <c r="M120" s="214"/>
      <c r="N120" s="214"/>
    </row>
    <row r="121" spans="1:14" ht="26.1" customHeight="1">
      <c r="A121" s="1837" t="s">
        <v>1478</v>
      </c>
      <c r="B121" s="1837"/>
      <c r="C121" s="1837"/>
      <c r="D121" s="1837"/>
      <c r="E121" s="1837"/>
      <c r="F121" s="1837"/>
      <c r="G121" s="1837"/>
      <c r="H121" s="1837"/>
      <c r="I121" s="1837"/>
      <c r="J121" s="1837"/>
      <c r="K121" s="1837"/>
    </row>
    <row r="122" spans="1:14" s="104" customFormat="1" ht="13.5" customHeight="1">
      <c r="A122" s="102"/>
      <c r="B122" s="102"/>
      <c r="C122" s="102"/>
      <c r="D122" s="103"/>
      <c r="E122" s="103"/>
      <c r="F122" s="102"/>
      <c r="G122" s="102"/>
      <c r="H122" s="102"/>
      <c r="I122" s="102"/>
      <c r="J122" s="102"/>
      <c r="K122" s="124" t="s">
        <v>1396</v>
      </c>
      <c r="L122" s="211"/>
      <c r="M122" s="211"/>
      <c r="N122" s="211"/>
    </row>
    <row r="123" spans="1:14" s="104" customFormat="1" ht="20.100000000000001" customHeight="1">
      <c r="A123" s="1861" t="s">
        <v>1397</v>
      </c>
      <c r="B123" s="1835" t="s">
        <v>1398</v>
      </c>
      <c r="C123" s="1835" t="s">
        <v>1399</v>
      </c>
      <c r="D123" s="1835" t="s">
        <v>1400</v>
      </c>
      <c r="E123" s="1833" t="s">
        <v>1401</v>
      </c>
      <c r="F123" s="1835" t="s">
        <v>1402</v>
      </c>
      <c r="G123" s="1835"/>
      <c r="H123" s="1835" t="s">
        <v>1403</v>
      </c>
      <c r="I123" s="1835"/>
      <c r="J123" s="1835" t="s">
        <v>1404</v>
      </c>
      <c r="K123" s="1840"/>
      <c r="L123" s="211"/>
      <c r="M123" s="211"/>
      <c r="N123" s="211"/>
    </row>
    <row r="124" spans="1:14" s="105" customFormat="1" ht="20.100000000000001" customHeight="1">
      <c r="A124" s="1862"/>
      <c r="B124" s="1836"/>
      <c r="C124" s="1836"/>
      <c r="D124" s="1836"/>
      <c r="E124" s="1834"/>
      <c r="F124" s="398" t="s">
        <v>1405</v>
      </c>
      <c r="G124" s="398" t="s">
        <v>1406</v>
      </c>
      <c r="H124" s="398" t="s">
        <v>1405</v>
      </c>
      <c r="I124" s="398" t="s">
        <v>1406</v>
      </c>
      <c r="J124" s="398" t="s">
        <v>1405</v>
      </c>
      <c r="K124" s="399" t="s">
        <v>1406</v>
      </c>
      <c r="L124" s="137"/>
      <c r="M124" s="137"/>
      <c r="N124" s="137"/>
    </row>
    <row r="125" spans="1:14" s="228" customFormat="1" ht="20.100000000000001" customHeight="1">
      <c r="A125" s="225" t="s">
        <v>881</v>
      </c>
      <c r="B125" s="226"/>
      <c r="C125" s="226"/>
      <c r="D125" s="226"/>
      <c r="E125" s="226"/>
      <c r="F125" s="226"/>
      <c r="G125" s="226"/>
      <c r="H125" s="226"/>
      <c r="I125" s="226"/>
      <c r="J125" s="226"/>
      <c r="K125" s="227"/>
    </row>
    <row r="126" spans="1:14" s="234" customFormat="1" ht="20.100000000000001" customHeight="1">
      <c r="A126" s="378" t="s">
        <v>1473</v>
      </c>
      <c r="B126" s="383" t="s">
        <v>1474</v>
      </c>
      <c r="C126" s="231">
        <v>1.2</v>
      </c>
      <c r="D126" s="230" t="s">
        <v>869</v>
      </c>
      <c r="E126" s="232">
        <f t="shared" ref="E126:E131" si="7">G126+I126+K126</f>
        <v>600</v>
      </c>
      <c r="F126" s="230">
        <f ca="1">'8.0자재단가'!$I$59</f>
        <v>500</v>
      </c>
      <c r="G126" s="232">
        <f>INT(C126*F126)</f>
        <v>600</v>
      </c>
      <c r="H126" s="230"/>
      <c r="I126" s="230"/>
      <c r="J126" s="230"/>
      <c r="K126" s="233"/>
    </row>
    <row r="127" spans="1:14" s="234" customFormat="1" ht="20.100000000000001" customHeight="1">
      <c r="A127" s="378" t="s">
        <v>872</v>
      </c>
      <c r="B127" s="383" t="s">
        <v>1475</v>
      </c>
      <c r="C127" s="231">
        <v>0.5</v>
      </c>
      <c r="D127" s="230" t="s">
        <v>1014</v>
      </c>
      <c r="E127" s="232">
        <f t="shared" si="7"/>
        <v>150</v>
      </c>
      <c r="F127" s="230">
        <f ca="1">'8.0자재단가'!$I$61</f>
        <v>300</v>
      </c>
      <c r="G127" s="232">
        <f>INT(C127*F127)</f>
        <v>150</v>
      </c>
      <c r="H127" s="230"/>
      <c r="I127" s="230"/>
      <c r="J127" s="230"/>
      <c r="K127" s="233"/>
    </row>
    <row r="128" spans="1:14" s="234" customFormat="1" ht="20.100000000000001" customHeight="1">
      <c r="A128" s="229" t="s">
        <v>837</v>
      </c>
      <c r="B128" s="230"/>
      <c r="C128" s="235">
        <v>2E-3</v>
      </c>
      <c r="D128" s="230" t="s">
        <v>964</v>
      </c>
      <c r="E128" s="232">
        <f t="shared" si="7"/>
        <v>184</v>
      </c>
      <c r="F128" s="232"/>
      <c r="G128" s="232"/>
      <c r="H128" s="232">
        <f ca="1">'11.0시중노임'!$F$4</f>
        <v>92218</v>
      </c>
      <c r="I128" s="232">
        <f>INT(C128*H128)</f>
        <v>184</v>
      </c>
      <c r="J128" s="232"/>
      <c r="K128" s="236"/>
    </row>
    <row r="129" spans="1:15" s="234" customFormat="1" ht="20.100000000000001" customHeight="1">
      <c r="A129" s="229" t="s">
        <v>838</v>
      </c>
      <c r="B129" s="230"/>
      <c r="C129" s="235">
        <v>0.01</v>
      </c>
      <c r="D129" s="230" t="s">
        <v>964</v>
      </c>
      <c r="E129" s="232">
        <f t="shared" si="7"/>
        <v>844</v>
      </c>
      <c r="F129" s="232"/>
      <c r="G129" s="232"/>
      <c r="H129" s="232">
        <f ca="1">'11.0시중노임'!$F$5</f>
        <v>84404</v>
      </c>
      <c r="I129" s="232">
        <f>INT(C129*H129)</f>
        <v>844</v>
      </c>
      <c r="J129" s="230"/>
      <c r="K129" s="233"/>
    </row>
    <row r="130" spans="1:15" s="234" customFormat="1" ht="20.100000000000001" customHeight="1">
      <c r="A130" s="229" t="s">
        <v>839</v>
      </c>
      <c r="B130" s="230"/>
      <c r="C130" s="235">
        <v>0.02</v>
      </c>
      <c r="D130" s="230" t="s">
        <v>964</v>
      </c>
      <c r="E130" s="232">
        <f t="shared" si="7"/>
        <v>1379</v>
      </c>
      <c r="F130" s="232"/>
      <c r="G130" s="232"/>
      <c r="H130" s="232">
        <f ca="1">'11.0시중노임'!$F$6</f>
        <v>68965</v>
      </c>
      <c r="I130" s="232">
        <f>INT(C130*H130)</f>
        <v>1379</v>
      </c>
      <c r="J130" s="230"/>
      <c r="K130" s="233"/>
    </row>
    <row r="131" spans="1:15" s="141" customFormat="1" ht="15" customHeight="1">
      <c r="A131" s="543" t="s">
        <v>1447</v>
      </c>
      <c r="B131" s="139" t="s">
        <v>1448</v>
      </c>
      <c r="C131" s="536">
        <v>3</v>
      </c>
      <c r="D131" s="139" t="s">
        <v>965</v>
      </c>
      <c r="E131" s="112">
        <f t="shared" si="7"/>
        <v>22.5</v>
      </c>
      <c r="F131" s="112">
        <f>SUM(G126:G127)</f>
        <v>750</v>
      </c>
      <c r="G131" s="112">
        <f>F131*C131/100</f>
        <v>22.5</v>
      </c>
      <c r="H131" s="112"/>
      <c r="I131" s="112"/>
      <c r="J131" s="139"/>
      <c r="K131" s="140"/>
    </row>
    <row r="132" spans="1:15" s="241" customFormat="1" ht="20.100000000000001" customHeight="1">
      <c r="A132" s="237" t="s">
        <v>849</v>
      </c>
      <c r="B132" s="238"/>
      <c r="C132" s="238"/>
      <c r="D132" s="238"/>
      <c r="E132" s="239">
        <f>SUM(E126:E131)</f>
        <v>3179.5</v>
      </c>
      <c r="F132" s="238"/>
      <c r="G132" s="239">
        <f>SUM(G126:G131)</f>
        <v>772.5</v>
      </c>
      <c r="H132" s="238"/>
      <c r="I132" s="239">
        <f>SUM(I126:I131)</f>
        <v>2407</v>
      </c>
      <c r="J132" s="238"/>
      <c r="K132" s="240"/>
    </row>
    <row r="133" spans="1:15" s="137" customFormat="1" ht="15" customHeight="1">
      <c r="A133" s="138" t="s">
        <v>1432</v>
      </c>
      <c r="B133" s="139"/>
      <c r="C133" s="139"/>
      <c r="D133" s="139"/>
      <c r="E133" s="537"/>
      <c r="F133" s="139"/>
      <c r="G133" s="139"/>
      <c r="H133" s="139"/>
      <c r="I133" s="139"/>
      <c r="J133" s="139"/>
      <c r="K133" s="140"/>
    </row>
    <row r="134" spans="1:15" s="105" customFormat="1" ht="15" customHeight="1">
      <c r="A134" s="544" t="s">
        <v>1451</v>
      </c>
      <c r="B134" s="110" t="s">
        <v>1452</v>
      </c>
      <c r="C134" s="122">
        <v>0.04</v>
      </c>
      <c r="D134" s="110" t="s">
        <v>1433</v>
      </c>
      <c r="E134" s="112">
        <f t="shared" ref="E134:E149" si="8">G134+I134+K134</f>
        <v>4800</v>
      </c>
      <c r="F134" s="112">
        <f ca="1">'8.0자재단가'!I48</f>
        <v>120000</v>
      </c>
      <c r="G134" s="112">
        <f>INT(C134*F134)</f>
        <v>4800</v>
      </c>
      <c r="H134" s="112"/>
      <c r="I134" s="112"/>
      <c r="J134" s="112"/>
      <c r="K134" s="126"/>
      <c r="L134" s="137"/>
      <c r="M134" s="137"/>
      <c r="N134" s="137"/>
    </row>
    <row r="135" spans="1:15" s="104" customFormat="1" ht="15" customHeight="1">
      <c r="A135" s="544" t="s">
        <v>1453</v>
      </c>
      <c r="B135" s="110" t="s">
        <v>1454</v>
      </c>
      <c r="C135" s="122">
        <v>0.4</v>
      </c>
      <c r="D135" s="110" t="s">
        <v>1433</v>
      </c>
      <c r="E135" s="535">
        <f t="shared" si="8"/>
        <v>0</v>
      </c>
      <c r="F135" s="112">
        <f ca="1">'8.0자재단가'!I49</f>
        <v>12000</v>
      </c>
      <c r="G135" s="535">
        <v>0</v>
      </c>
      <c r="H135" s="112"/>
      <c r="I135" s="112"/>
      <c r="J135" s="112"/>
      <c r="K135" s="126"/>
      <c r="L135" s="211"/>
      <c r="M135" s="211"/>
      <c r="N135" s="211"/>
    </row>
    <row r="136" spans="1:15" s="104" customFormat="1" ht="15" customHeight="1">
      <c r="A136" s="378" t="s">
        <v>1455</v>
      </c>
      <c r="B136" s="383" t="s">
        <v>1456</v>
      </c>
      <c r="C136" s="122"/>
      <c r="D136" s="110" t="s">
        <v>1470</v>
      </c>
      <c r="E136" s="535">
        <f t="shared" si="8"/>
        <v>0</v>
      </c>
      <c r="F136" s="112">
        <f ca="1">'8.0자재단가'!I50</f>
        <v>1500</v>
      </c>
      <c r="G136" s="535">
        <v>0</v>
      </c>
      <c r="H136" s="112"/>
      <c r="I136" s="112"/>
      <c r="J136" s="112"/>
      <c r="K136" s="126"/>
      <c r="L136" s="211"/>
      <c r="M136" s="211"/>
      <c r="N136" s="211"/>
    </row>
    <row r="137" spans="1:15" s="104" customFormat="1" ht="15" customHeight="1">
      <c r="A137" s="378" t="s">
        <v>1458</v>
      </c>
      <c r="B137" s="383" t="s">
        <v>1479</v>
      </c>
      <c r="C137" s="136">
        <v>18.2</v>
      </c>
      <c r="D137" s="110" t="s">
        <v>831</v>
      </c>
      <c r="E137" s="112">
        <f t="shared" si="8"/>
        <v>13468</v>
      </c>
      <c r="F137" s="112">
        <f ca="1">'8.0자재단가'!I54</f>
        <v>740</v>
      </c>
      <c r="G137" s="112">
        <f t="shared" ref="G137:G142" si="9">INT(C137*F137)</f>
        <v>13468</v>
      </c>
      <c r="H137" s="112"/>
      <c r="I137" s="112"/>
      <c r="J137" s="112"/>
      <c r="K137" s="126"/>
      <c r="L137" s="211"/>
      <c r="M137" s="212"/>
      <c r="N137" s="212"/>
    </row>
    <row r="138" spans="1:15" s="104" customFormat="1" ht="15" customHeight="1">
      <c r="A138" s="378" t="s">
        <v>1459</v>
      </c>
      <c r="B138" s="383" t="s">
        <v>1461</v>
      </c>
      <c r="C138" s="538">
        <v>0.27</v>
      </c>
      <c r="D138" s="110" t="s">
        <v>831</v>
      </c>
      <c r="E138" s="112">
        <f t="shared" si="8"/>
        <v>4320</v>
      </c>
      <c r="F138" s="112">
        <f ca="1">'8.0자재단가'!$I$57</f>
        <v>16000</v>
      </c>
      <c r="G138" s="112">
        <f t="shared" si="9"/>
        <v>4320</v>
      </c>
      <c r="H138" s="112"/>
      <c r="I138" s="112"/>
      <c r="J138" s="112"/>
      <c r="K138" s="126"/>
      <c r="L138" s="211"/>
      <c r="M138" s="211"/>
      <c r="N138" s="211"/>
    </row>
    <row r="139" spans="1:15" s="104" customFormat="1" ht="15" customHeight="1">
      <c r="A139" s="113" t="s">
        <v>1436</v>
      </c>
      <c r="B139" s="110" t="s">
        <v>1437</v>
      </c>
      <c r="C139" s="122">
        <v>1.2E-2</v>
      </c>
      <c r="D139" s="110" t="s">
        <v>1409</v>
      </c>
      <c r="E139" s="112">
        <f t="shared" si="8"/>
        <v>462</v>
      </c>
      <c r="F139" s="112">
        <f ca="1">'9.0중기목록'!$F$14</f>
        <v>13117</v>
      </c>
      <c r="G139" s="112">
        <f t="shared" si="9"/>
        <v>157</v>
      </c>
      <c r="H139" s="112">
        <f ca="1">'9.0중기목록'!$E$14</f>
        <v>17696</v>
      </c>
      <c r="I139" s="112">
        <f t="shared" ref="I139:I146" si="10">INT(C139*H139)</f>
        <v>212</v>
      </c>
      <c r="J139" s="112">
        <f ca="1">'9.0중기목록'!$G$14</f>
        <v>7823</v>
      </c>
      <c r="K139" s="126">
        <f>INT(C139*J139)</f>
        <v>93</v>
      </c>
      <c r="L139" s="211"/>
      <c r="M139" s="211"/>
      <c r="N139" s="211"/>
    </row>
    <row r="140" spans="1:15" s="104" customFormat="1" ht="15" customHeight="1">
      <c r="A140" s="117" t="s">
        <v>1438</v>
      </c>
      <c r="B140" s="110" t="s">
        <v>1466</v>
      </c>
      <c r="C140" s="122">
        <v>1.2E-2</v>
      </c>
      <c r="D140" s="110" t="s">
        <v>1409</v>
      </c>
      <c r="E140" s="112">
        <f t="shared" si="8"/>
        <v>558</v>
      </c>
      <c r="F140" s="112">
        <f ca="1">'9.0중기목록'!$F$38</f>
        <v>19373</v>
      </c>
      <c r="G140" s="112">
        <f t="shared" si="9"/>
        <v>232</v>
      </c>
      <c r="H140" s="112">
        <f ca="1">'9.0중기목록'!$E$38</f>
        <v>17696</v>
      </c>
      <c r="I140" s="112">
        <f t="shared" si="10"/>
        <v>212</v>
      </c>
      <c r="J140" s="112">
        <f ca="1">'9.0중기목록'!$G$38</f>
        <v>9529</v>
      </c>
      <c r="K140" s="126">
        <f>INT(C140*J140)</f>
        <v>114</v>
      </c>
      <c r="L140" s="211"/>
      <c r="M140" s="213"/>
      <c r="N140" s="211"/>
    </row>
    <row r="141" spans="1:15" s="104" customFormat="1" ht="15" customHeight="1">
      <c r="A141" s="121" t="s">
        <v>1434</v>
      </c>
      <c r="B141" s="110" t="s">
        <v>1435</v>
      </c>
      <c r="C141" s="122">
        <v>1.2E-2</v>
      </c>
      <c r="D141" s="110" t="s">
        <v>1409</v>
      </c>
      <c r="E141" s="112">
        <f t="shared" si="8"/>
        <v>415</v>
      </c>
      <c r="F141" s="112">
        <f ca="1">'9.0중기목록'!$F$12</f>
        <v>6640</v>
      </c>
      <c r="G141" s="112">
        <f t="shared" si="9"/>
        <v>79</v>
      </c>
      <c r="H141" s="112">
        <f ca="1">'9.0중기목록'!$E$12</f>
        <v>17696</v>
      </c>
      <c r="I141" s="112">
        <f t="shared" si="10"/>
        <v>212</v>
      </c>
      <c r="J141" s="112">
        <f ca="1">'9.0중기목록'!$G$12</f>
        <v>10362</v>
      </c>
      <c r="K141" s="126">
        <f>INT(C141*J141)</f>
        <v>124</v>
      </c>
      <c r="L141" s="137"/>
      <c r="M141" s="137"/>
      <c r="N141" s="137"/>
      <c r="O141" s="105"/>
    </row>
    <row r="142" spans="1:15" s="104" customFormat="1" ht="15" customHeight="1">
      <c r="A142" s="117" t="s">
        <v>1462</v>
      </c>
      <c r="B142" s="110" t="s">
        <v>1463</v>
      </c>
      <c r="C142" s="122">
        <v>1.2E-2</v>
      </c>
      <c r="D142" s="110" t="s">
        <v>1409</v>
      </c>
      <c r="E142" s="112">
        <f t="shared" si="8"/>
        <v>512</v>
      </c>
      <c r="F142" s="112">
        <f>F99</f>
        <v>10217</v>
      </c>
      <c r="G142" s="112">
        <f t="shared" si="9"/>
        <v>122</v>
      </c>
      <c r="H142" s="112">
        <f>H99</f>
        <v>16611</v>
      </c>
      <c r="I142" s="112">
        <f t="shared" si="10"/>
        <v>199</v>
      </c>
      <c r="J142" s="112">
        <f>J99</f>
        <v>15971</v>
      </c>
      <c r="K142" s="126">
        <f>INT(C142*J142)</f>
        <v>191</v>
      </c>
      <c r="L142" s="211"/>
      <c r="M142" s="211"/>
      <c r="N142" s="211"/>
    </row>
    <row r="143" spans="1:15" s="104" customFormat="1" ht="15" customHeight="1">
      <c r="A143" s="113" t="s">
        <v>1431</v>
      </c>
      <c r="B143" s="110"/>
      <c r="C143" s="122">
        <v>5.0000000000000001E-3</v>
      </c>
      <c r="D143" s="110" t="s">
        <v>1411</v>
      </c>
      <c r="E143" s="112">
        <f t="shared" si="8"/>
        <v>461</v>
      </c>
      <c r="F143" s="112"/>
      <c r="G143" s="112"/>
      <c r="H143" s="112">
        <f ca="1">'11.0시중노임'!$F$4</f>
        <v>92218</v>
      </c>
      <c r="I143" s="112">
        <f t="shared" si="10"/>
        <v>461</v>
      </c>
      <c r="J143" s="112"/>
      <c r="K143" s="126"/>
      <c r="L143" s="211"/>
      <c r="M143" s="211"/>
      <c r="N143" s="211"/>
    </row>
    <row r="144" spans="1:15" s="104" customFormat="1" ht="15" customHeight="1">
      <c r="A144" s="113" t="s">
        <v>1422</v>
      </c>
      <c r="B144" s="110"/>
      <c r="C144" s="122">
        <v>0.01</v>
      </c>
      <c r="D144" s="110" t="s">
        <v>1411</v>
      </c>
      <c r="E144" s="112">
        <f t="shared" si="8"/>
        <v>844</v>
      </c>
      <c r="F144" s="112"/>
      <c r="G144" s="112"/>
      <c r="H144" s="112">
        <f ca="1">'11.0시중노임'!$F$5</f>
        <v>84404</v>
      </c>
      <c r="I144" s="112">
        <f t="shared" si="10"/>
        <v>844</v>
      </c>
      <c r="J144" s="112"/>
      <c r="K144" s="126"/>
      <c r="L144" s="211"/>
      <c r="M144" s="211"/>
      <c r="N144" s="211"/>
    </row>
    <row r="145" spans="1:14" s="104" customFormat="1" ht="15" customHeight="1">
      <c r="A145" s="113" t="s">
        <v>1439</v>
      </c>
      <c r="B145" s="110"/>
      <c r="C145" s="122">
        <v>5.0000000000000001E-3</v>
      </c>
      <c r="D145" s="110" t="s">
        <v>1411</v>
      </c>
      <c r="E145" s="112">
        <f t="shared" si="8"/>
        <v>432</v>
      </c>
      <c r="F145" s="112"/>
      <c r="G145" s="112"/>
      <c r="H145" s="112">
        <f ca="1">'11.0시중노임'!$F$12</f>
        <v>86521</v>
      </c>
      <c r="I145" s="112">
        <f t="shared" si="10"/>
        <v>432</v>
      </c>
      <c r="J145" s="112"/>
      <c r="K145" s="126"/>
      <c r="L145" s="211"/>
      <c r="M145" s="211"/>
      <c r="N145" s="211"/>
    </row>
    <row r="146" spans="1:14" s="104" customFormat="1" ht="15" customHeight="1">
      <c r="A146" s="113" t="s">
        <v>1423</v>
      </c>
      <c r="B146" s="110"/>
      <c r="C146" s="122">
        <v>0.02</v>
      </c>
      <c r="D146" s="110" t="s">
        <v>1411</v>
      </c>
      <c r="E146" s="112">
        <f t="shared" si="8"/>
        <v>1379</v>
      </c>
      <c r="F146" s="112"/>
      <c r="G146" s="112"/>
      <c r="H146" s="112">
        <f ca="1">'11.0시중노임'!$F$6</f>
        <v>68965</v>
      </c>
      <c r="I146" s="112">
        <f t="shared" si="10"/>
        <v>1379</v>
      </c>
      <c r="J146" s="112"/>
      <c r="K146" s="126"/>
      <c r="L146" s="211"/>
      <c r="M146" s="213"/>
      <c r="N146" s="211"/>
    </row>
    <row r="147" spans="1:14" s="141" customFormat="1" ht="15" customHeight="1">
      <c r="A147" s="117" t="s">
        <v>1447</v>
      </c>
      <c r="B147" s="139" t="s">
        <v>1448</v>
      </c>
      <c r="C147" s="536">
        <v>3</v>
      </c>
      <c r="D147" s="139" t="s">
        <v>965</v>
      </c>
      <c r="E147" s="112">
        <f t="shared" si="8"/>
        <v>695.34</v>
      </c>
      <c r="F147" s="112">
        <f>SUM(G134:G142)</f>
        <v>23178</v>
      </c>
      <c r="G147" s="112">
        <f>F147*C147/100</f>
        <v>695.34</v>
      </c>
      <c r="H147" s="112"/>
      <c r="I147" s="112"/>
      <c r="J147" s="139"/>
      <c r="K147" s="140"/>
    </row>
    <row r="148" spans="1:14" s="141" customFormat="1" ht="15" customHeight="1">
      <c r="A148" s="117" t="s">
        <v>1449</v>
      </c>
      <c r="B148" s="139" t="s">
        <v>1450</v>
      </c>
      <c r="C148" s="536">
        <v>3</v>
      </c>
      <c r="D148" s="139" t="s">
        <v>965</v>
      </c>
      <c r="E148" s="112">
        <f t="shared" si="8"/>
        <v>118.53</v>
      </c>
      <c r="F148" s="112"/>
      <c r="G148" s="112"/>
      <c r="H148" s="112">
        <f>SUM(I139:I146)</f>
        <v>3951</v>
      </c>
      <c r="I148" s="112">
        <f>H148*C148/100</f>
        <v>118.53</v>
      </c>
      <c r="J148" s="139"/>
      <c r="K148" s="140"/>
    </row>
    <row r="149" spans="1:14" s="134" customFormat="1" ht="15" customHeight="1">
      <c r="A149" s="146" t="s">
        <v>1467</v>
      </c>
      <c r="B149" s="147"/>
      <c r="C149" s="148"/>
      <c r="D149" s="147"/>
      <c r="E149" s="131">
        <f t="shared" si="8"/>
        <v>28464.87</v>
      </c>
      <c r="F149" s="131"/>
      <c r="G149" s="131">
        <f>SUM(G134:G148)</f>
        <v>23873.34</v>
      </c>
      <c r="H149" s="131"/>
      <c r="I149" s="131">
        <f>SUM(I134:I148)</f>
        <v>4069.53</v>
      </c>
      <c r="J149" s="131"/>
      <c r="K149" s="149">
        <f>SUM(K134:K148)</f>
        <v>522</v>
      </c>
      <c r="L149" s="214"/>
      <c r="M149" s="214"/>
      <c r="N149" s="214"/>
    </row>
    <row r="150" spans="1:14" s="134" customFormat="1" ht="15" customHeight="1">
      <c r="A150" s="539"/>
      <c r="B150" s="541"/>
      <c r="C150" s="147"/>
      <c r="D150" s="148"/>
      <c r="E150" s="131"/>
      <c r="F150" s="131"/>
      <c r="G150" s="131"/>
      <c r="H150" s="131"/>
      <c r="I150" s="131"/>
      <c r="J150" s="131"/>
      <c r="K150" s="540"/>
      <c r="L150" s="214"/>
      <c r="M150" s="214"/>
      <c r="N150" s="214"/>
    </row>
    <row r="151" spans="1:14" s="104" customFormat="1" ht="15" customHeight="1">
      <c r="A151" s="119"/>
      <c r="B151" s="542"/>
      <c r="C151" s="111"/>
      <c r="D151" s="111"/>
      <c r="E151" s="112"/>
      <c r="F151" s="111"/>
      <c r="G151" s="111"/>
      <c r="H151" s="111"/>
      <c r="I151" s="111"/>
      <c r="J151" s="111"/>
      <c r="K151" s="127"/>
      <c r="L151" s="211"/>
      <c r="M151" s="211"/>
      <c r="N151" s="211"/>
    </row>
    <row r="152" spans="1:14" s="104" customFormat="1" ht="15" customHeight="1">
      <c r="A152" s="119"/>
      <c r="B152" s="542"/>
      <c r="C152" s="111"/>
      <c r="D152" s="111"/>
      <c r="E152" s="112"/>
      <c r="F152" s="111"/>
      <c r="G152" s="111"/>
      <c r="H152" s="111"/>
      <c r="I152" s="111"/>
      <c r="J152" s="111"/>
      <c r="K152" s="127"/>
      <c r="L152" s="211"/>
      <c r="M152" s="211"/>
      <c r="N152" s="211"/>
    </row>
    <row r="153" spans="1:14" s="104" customFormat="1" ht="15" customHeight="1">
      <c r="A153" s="119"/>
      <c r="B153" s="542"/>
      <c r="C153" s="111"/>
      <c r="D153" s="111"/>
      <c r="E153" s="112"/>
      <c r="F153" s="111"/>
      <c r="G153" s="111"/>
      <c r="H153" s="111"/>
      <c r="I153" s="111"/>
      <c r="J153" s="111"/>
      <c r="K153" s="127"/>
      <c r="L153" s="211"/>
      <c r="M153" s="211"/>
      <c r="N153" s="211"/>
    </row>
    <row r="154" spans="1:14" s="104" customFormat="1" ht="15" customHeight="1">
      <c r="A154" s="119"/>
      <c r="B154" s="542"/>
      <c r="C154" s="111"/>
      <c r="D154" s="111"/>
      <c r="E154" s="112"/>
      <c r="F154" s="111"/>
      <c r="G154" s="111"/>
      <c r="H154" s="111"/>
      <c r="I154" s="111"/>
      <c r="J154" s="111"/>
      <c r="K154" s="127"/>
      <c r="L154" s="211"/>
      <c r="M154" s="211"/>
      <c r="N154" s="211"/>
    </row>
    <row r="155" spans="1:14" s="104" customFormat="1" ht="15" customHeight="1">
      <c r="A155" s="119"/>
      <c r="B155" s="542"/>
      <c r="C155" s="111"/>
      <c r="D155" s="111"/>
      <c r="E155" s="112"/>
      <c r="F155" s="111"/>
      <c r="G155" s="111"/>
      <c r="H155" s="111"/>
      <c r="I155" s="111"/>
      <c r="J155" s="111"/>
      <c r="K155" s="127"/>
      <c r="L155" s="211"/>
      <c r="M155" s="211"/>
      <c r="N155" s="211"/>
    </row>
    <row r="156" spans="1:14" s="104" customFormat="1" ht="15" customHeight="1">
      <c r="A156" s="119"/>
      <c r="B156" s="542"/>
      <c r="C156" s="111"/>
      <c r="D156" s="111"/>
      <c r="E156" s="112"/>
      <c r="F156" s="111"/>
      <c r="G156" s="111"/>
      <c r="H156" s="111"/>
      <c r="I156" s="111"/>
      <c r="J156" s="111"/>
      <c r="K156" s="127"/>
      <c r="L156" s="211"/>
      <c r="M156" s="211"/>
      <c r="N156" s="211"/>
    </row>
    <row r="157" spans="1:14" s="104" customFormat="1" ht="15" customHeight="1">
      <c r="A157" s="119"/>
      <c r="B157" s="542"/>
      <c r="C157" s="111"/>
      <c r="D157" s="111"/>
      <c r="E157" s="112"/>
      <c r="F157" s="111"/>
      <c r="G157" s="111"/>
      <c r="H157" s="111"/>
      <c r="I157" s="111"/>
      <c r="J157" s="111"/>
      <c r="K157" s="127"/>
      <c r="L157" s="211"/>
      <c r="M157" s="211"/>
      <c r="N157" s="211"/>
    </row>
    <row r="158" spans="1:14" s="104" customFormat="1" ht="15" customHeight="1">
      <c r="A158" s="119"/>
      <c r="B158" s="542"/>
      <c r="C158" s="111"/>
      <c r="D158" s="111"/>
      <c r="E158" s="112"/>
      <c r="F158" s="111"/>
      <c r="G158" s="111"/>
      <c r="H158" s="111"/>
      <c r="I158" s="111"/>
      <c r="J158" s="111"/>
      <c r="K158" s="127"/>
      <c r="L158" s="211"/>
      <c r="M158" s="211"/>
      <c r="N158" s="211"/>
    </row>
    <row r="159" spans="1:14" s="104" customFormat="1" ht="15" customHeight="1">
      <c r="A159" s="119"/>
      <c r="B159" s="542"/>
      <c r="C159" s="111"/>
      <c r="D159" s="111"/>
      <c r="E159" s="112"/>
      <c r="F159" s="111"/>
      <c r="G159" s="111"/>
      <c r="H159" s="111"/>
      <c r="I159" s="111"/>
      <c r="J159" s="111"/>
      <c r="K159" s="127"/>
      <c r="L159" s="211"/>
      <c r="M159" s="211"/>
      <c r="N159" s="211"/>
    </row>
    <row r="160" spans="1:14" s="104" customFormat="1" ht="15" customHeight="1">
      <c r="A160" s="119"/>
      <c r="B160" s="542"/>
      <c r="C160" s="111"/>
      <c r="D160" s="111"/>
      <c r="E160" s="112"/>
      <c r="F160" s="111"/>
      <c r="G160" s="111"/>
      <c r="H160" s="111"/>
      <c r="I160" s="111"/>
      <c r="J160" s="111"/>
      <c r="K160" s="127"/>
      <c r="L160" s="211"/>
      <c r="M160" s="211"/>
      <c r="N160" s="211"/>
    </row>
    <row r="161" spans="1:14" s="104" customFormat="1" ht="15" customHeight="1">
      <c r="A161" s="119"/>
      <c r="B161" s="542"/>
      <c r="C161" s="111"/>
      <c r="D161" s="111"/>
      <c r="E161" s="112"/>
      <c r="F161" s="111"/>
      <c r="G161" s="111"/>
      <c r="H161" s="111"/>
      <c r="I161" s="111"/>
      <c r="J161" s="111"/>
      <c r="K161" s="127"/>
      <c r="L161" s="211"/>
      <c r="M161" s="211"/>
      <c r="N161" s="211"/>
    </row>
    <row r="162" spans="1:14" s="104" customFormat="1" ht="15" customHeight="1">
      <c r="A162" s="119"/>
      <c r="B162" s="542"/>
      <c r="C162" s="111"/>
      <c r="D162" s="111"/>
      <c r="E162" s="112"/>
      <c r="F162" s="111"/>
      <c r="G162" s="111"/>
      <c r="H162" s="111"/>
      <c r="I162" s="111"/>
      <c r="J162" s="111"/>
      <c r="K162" s="127"/>
      <c r="L162" s="211"/>
      <c r="M162" s="211"/>
      <c r="N162" s="211"/>
    </row>
    <row r="163" spans="1:14" s="134" customFormat="1" ht="15" customHeight="1">
      <c r="A163" s="128" t="s">
        <v>1440</v>
      </c>
      <c r="B163" s="129"/>
      <c r="C163" s="129"/>
      <c r="D163" s="130"/>
      <c r="E163" s="132">
        <f>E149+E129</f>
        <v>29308.87</v>
      </c>
      <c r="F163" s="132"/>
      <c r="G163" s="132">
        <f>G149+G129</f>
        <v>23873.34</v>
      </c>
      <c r="H163" s="132"/>
      <c r="I163" s="132">
        <f>I149+I129</f>
        <v>4913.5300000000007</v>
      </c>
      <c r="J163" s="132"/>
      <c r="K163" s="133">
        <f>K149+K132</f>
        <v>522</v>
      </c>
      <c r="L163" s="214"/>
      <c r="M163" s="214"/>
      <c r="N163" s="214"/>
    </row>
    <row r="164" spans="1:14" ht="26.1" customHeight="1">
      <c r="A164" s="1837" t="s">
        <v>1477</v>
      </c>
      <c r="B164" s="1837"/>
      <c r="C164" s="1837"/>
      <c r="D164" s="1837"/>
      <c r="E164" s="1837"/>
      <c r="F164" s="1837"/>
      <c r="G164" s="1837"/>
      <c r="H164" s="1837"/>
      <c r="I164" s="1837"/>
      <c r="J164" s="1837"/>
      <c r="K164" s="1837"/>
    </row>
    <row r="165" spans="1:14" s="104" customFormat="1" ht="13.5" customHeight="1">
      <c r="A165" s="102"/>
      <c r="B165" s="102"/>
      <c r="C165" s="102"/>
      <c r="D165" s="103"/>
      <c r="E165" s="103"/>
      <c r="F165" s="102"/>
      <c r="G165" s="102"/>
      <c r="H165" s="102"/>
      <c r="I165" s="102"/>
      <c r="J165" s="102"/>
      <c r="K165" s="124" t="s">
        <v>1396</v>
      </c>
      <c r="L165" s="211"/>
      <c r="M165" s="211"/>
      <c r="N165" s="211"/>
    </row>
    <row r="166" spans="1:14" s="104" customFormat="1" ht="20.100000000000001" customHeight="1">
      <c r="A166" s="1861" t="s">
        <v>1397</v>
      </c>
      <c r="B166" s="1835" t="s">
        <v>1398</v>
      </c>
      <c r="C166" s="1835" t="s">
        <v>1399</v>
      </c>
      <c r="D166" s="1835" t="s">
        <v>1400</v>
      </c>
      <c r="E166" s="1833" t="s">
        <v>1401</v>
      </c>
      <c r="F166" s="1835" t="s">
        <v>1402</v>
      </c>
      <c r="G166" s="1835"/>
      <c r="H166" s="1835" t="s">
        <v>1403</v>
      </c>
      <c r="I166" s="1835"/>
      <c r="J166" s="1835" t="s">
        <v>1404</v>
      </c>
      <c r="K166" s="1840"/>
      <c r="L166" s="211"/>
      <c r="M166" s="211"/>
      <c r="N166" s="211"/>
    </row>
    <row r="167" spans="1:14" s="105" customFormat="1" ht="20.100000000000001" customHeight="1">
      <c r="A167" s="1862"/>
      <c r="B167" s="1836"/>
      <c r="C167" s="1836"/>
      <c r="D167" s="1836"/>
      <c r="E167" s="1834"/>
      <c r="F167" s="398" t="s">
        <v>1405</v>
      </c>
      <c r="G167" s="398" t="s">
        <v>1406</v>
      </c>
      <c r="H167" s="398" t="s">
        <v>1405</v>
      </c>
      <c r="I167" s="398" t="s">
        <v>1406</v>
      </c>
      <c r="J167" s="398" t="s">
        <v>1405</v>
      </c>
      <c r="K167" s="399" t="s">
        <v>1406</v>
      </c>
      <c r="L167" s="137"/>
      <c r="M167" s="137"/>
      <c r="N167" s="137"/>
    </row>
    <row r="168" spans="1:14" s="228" customFormat="1" ht="20.100000000000001" customHeight="1">
      <c r="A168" s="225" t="s">
        <v>881</v>
      </c>
      <c r="B168" s="226"/>
      <c r="C168" s="226"/>
      <c r="D168" s="226"/>
      <c r="E168" s="226"/>
      <c r="F168" s="226"/>
      <c r="G168" s="226"/>
      <c r="H168" s="226"/>
      <c r="I168" s="226"/>
      <c r="J168" s="226"/>
      <c r="K168" s="227"/>
    </row>
    <row r="169" spans="1:14" s="234" customFormat="1" ht="20.100000000000001" customHeight="1">
      <c r="A169" s="378" t="s">
        <v>1473</v>
      </c>
      <c r="B169" s="383" t="s">
        <v>1474</v>
      </c>
      <c r="C169" s="231">
        <v>1.2</v>
      </c>
      <c r="D169" s="230" t="s">
        <v>869</v>
      </c>
      <c r="E169" s="232">
        <f t="shared" ref="E169:E174" si="11">G169+I169+K169</f>
        <v>600</v>
      </c>
      <c r="F169" s="230">
        <f ca="1">'8.0자재단가'!$I$59</f>
        <v>500</v>
      </c>
      <c r="G169" s="232">
        <f>INT(C169*F169)</f>
        <v>600</v>
      </c>
      <c r="H169" s="230"/>
      <c r="I169" s="230"/>
      <c r="J169" s="230"/>
      <c r="K169" s="233"/>
    </row>
    <row r="170" spans="1:14" s="234" customFormat="1" ht="20.100000000000001" customHeight="1">
      <c r="A170" s="378" t="s">
        <v>872</v>
      </c>
      <c r="B170" s="383" t="s">
        <v>1475</v>
      </c>
      <c r="C170" s="231">
        <v>0.5</v>
      </c>
      <c r="D170" s="230" t="s">
        <v>1014</v>
      </c>
      <c r="E170" s="232">
        <f t="shared" si="11"/>
        <v>150</v>
      </c>
      <c r="F170" s="230">
        <f ca="1">'8.0자재단가'!$I$61</f>
        <v>300</v>
      </c>
      <c r="G170" s="232">
        <f>INT(C170*F170)</f>
        <v>150</v>
      </c>
      <c r="H170" s="230"/>
      <c r="I170" s="230"/>
      <c r="J170" s="230"/>
      <c r="K170" s="233"/>
    </row>
    <row r="171" spans="1:14" s="234" customFormat="1" ht="20.100000000000001" customHeight="1">
      <c r="A171" s="229" t="s">
        <v>837</v>
      </c>
      <c r="B171" s="230"/>
      <c r="C171" s="235">
        <v>2E-3</v>
      </c>
      <c r="D171" s="230" t="s">
        <v>964</v>
      </c>
      <c r="E171" s="232">
        <f t="shared" si="11"/>
        <v>184</v>
      </c>
      <c r="F171" s="232"/>
      <c r="G171" s="232"/>
      <c r="H171" s="232">
        <f ca="1">'11.0시중노임'!$F$4</f>
        <v>92218</v>
      </c>
      <c r="I171" s="232">
        <f>INT(C171*H171)</f>
        <v>184</v>
      </c>
      <c r="J171" s="232"/>
      <c r="K171" s="236"/>
    </row>
    <row r="172" spans="1:14" s="234" customFormat="1" ht="20.100000000000001" customHeight="1">
      <c r="A172" s="229" t="s">
        <v>838</v>
      </c>
      <c r="B172" s="230"/>
      <c r="C172" s="235">
        <v>0.01</v>
      </c>
      <c r="D172" s="230" t="s">
        <v>964</v>
      </c>
      <c r="E172" s="232">
        <f t="shared" si="11"/>
        <v>844</v>
      </c>
      <c r="F172" s="232"/>
      <c r="G172" s="232"/>
      <c r="H172" s="232">
        <f ca="1">'11.0시중노임'!$F$5</f>
        <v>84404</v>
      </c>
      <c r="I172" s="232">
        <f>INT(C172*H172)</f>
        <v>844</v>
      </c>
      <c r="J172" s="230"/>
      <c r="K172" s="233"/>
    </row>
    <row r="173" spans="1:14" s="234" customFormat="1" ht="20.100000000000001" customHeight="1">
      <c r="A173" s="229" t="s">
        <v>839</v>
      </c>
      <c r="B173" s="230"/>
      <c r="C173" s="235">
        <v>0.02</v>
      </c>
      <c r="D173" s="230" t="s">
        <v>964</v>
      </c>
      <c r="E173" s="232">
        <f t="shared" si="11"/>
        <v>1379</v>
      </c>
      <c r="F173" s="232"/>
      <c r="G173" s="232"/>
      <c r="H173" s="232">
        <f ca="1">'11.0시중노임'!$F$6</f>
        <v>68965</v>
      </c>
      <c r="I173" s="232">
        <f>INT(C173*H173)</f>
        <v>1379</v>
      </c>
      <c r="J173" s="230"/>
      <c r="K173" s="233"/>
    </row>
    <row r="174" spans="1:14" s="141" customFormat="1" ht="15" customHeight="1">
      <c r="A174" s="543" t="s">
        <v>1447</v>
      </c>
      <c r="B174" s="139" t="s">
        <v>1448</v>
      </c>
      <c r="C174" s="536">
        <v>3</v>
      </c>
      <c r="D174" s="139" t="s">
        <v>965</v>
      </c>
      <c r="E174" s="112">
        <f t="shared" si="11"/>
        <v>22.5</v>
      </c>
      <c r="F174" s="112">
        <f>SUM(G169:G170)</f>
        <v>750</v>
      </c>
      <c r="G174" s="112">
        <f>F174*C174/100</f>
        <v>22.5</v>
      </c>
      <c r="H174" s="112"/>
      <c r="I174" s="112"/>
      <c r="J174" s="139"/>
      <c r="K174" s="140"/>
    </row>
    <row r="175" spans="1:14" s="241" customFormat="1" ht="20.100000000000001" customHeight="1">
      <c r="A175" s="237" t="s">
        <v>849</v>
      </c>
      <c r="B175" s="238"/>
      <c r="C175" s="238"/>
      <c r="D175" s="238"/>
      <c r="E175" s="239">
        <f>SUM(E169:E174)</f>
        <v>3179.5</v>
      </c>
      <c r="F175" s="238"/>
      <c r="G175" s="239">
        <f>SUM(G169:G174)</f>
        <v>772.5</v>
      </c>
      <c r="H175" s="238"/>
      <c r="I175" s="239">
        <f>SUM(I169:I174)</f>
        <v>2407</v>
      </c>
      <c r="J175" s="238"/>
      <c r="K175" s="240"/>
    </row>
    <row r="176" spans="1:14" s="137" customFormat="1" ht="15" customHeight="1">
      <c r="A176" s="138" t="s">
        <v>1432</v>
      </c>
      <c r="B176" s="139"/>
      <c r="C176" s="139"/>
      <c r="D176" s="139"/>
      <c r="E176" s="537"/>
      <c r="F176" s="139"/>
      <c r="G176" s="139"/>
      <c r="H176" s="139"/>
      <c r="I176" s="139"/>
      <c r="J176" s="139"/>
      <c r="K176" s="140"/>
    </row>
    <row r="177" spans="1:15" s="105" customFormat="1" ht="15" customHeight="1">
      <c r="A177" s="544" t="s">
        <v>1451</v>
      </c>
      <c r="B177" s="110" t="s">
        <v>1452</v>
      </c>
      <c r="C177" s="122">
        <v>0.04</v>
      </c>
      <c r="D177" s="110" t="s">
        <v>1433</v>
      </c>
      <c r="E177" s="112">
        <f t="shared" ref="E177:E192" si="12">G177+I177+K177</f>
        <v>4800</v>
      </c>
      <c r="F177" s="112">
        <f ca="1">'8.0자재단가'!I48</f>
        <v>120000</v>
      </c>
      <c r="G177" s="112">
        <f>INT(C177*F177)</f>
        <v>4800</v>
      </c>
      <c r="H177" s="112"/>
      <c r="I177" s="112"/>
      <c r="J177" s="112"/>
      <c r="K177" s="126"/>
      <c r="L177" s="137"/>
      <c r="M177" s="137"/>
      <c r="N177" s="137"/>
    </row>
    <row r="178" spans="1:15" s="104" customFormat="1" ht="15" customHeight="1">
      <c r="A178" s="544" t="s">
        <v>1453</v>
      </c>
      <c r="B178" s="110" t="s">
        <v>1454</v>
      </c>
      <c r="C178" s="122">
        <v>0.4</v>
      </c>
      <c r="D178" s="110" t="s">
        <v>1433</v>
      </c>
      <c r="E178" s="535">
        <f t="shared" si="12"/>
        <v>0</v>
      </c>
      <c r="F178" s="112">
        <f ca="1">'8.0자재단가'!I49</f>
        <v>12000</v>
      </c>
      <c r="G178" s="535">
        <v>0</v>
      </c>
      <c r="H178" s="112"/>
      <c r="I178" s="112"/>
      <c r="J178" s="112"/>
      <c r="K178" s="126"/>
      <c r="L178" s="211"/>
      <c r="M178" s="211"/>
      <c r="N178" s="211"/>
    </row>
    <row r="179" spans="1:15" s="104" customFormat="1" ht="15" customHeight="1">
      <c r="A179" s="378" t="s">
        <v>1455</v>
      </c>
      <c r="B179" s="383" t="s">
        <v>1456</v>
      </c>
      <c r="C179" s="122"/>
      <c r="D179" s="110" t="s">
        <v>1470</v>
      </c>
      <c r="E179" s="535">
        <f t="shared" si="12"/>
        <v>0</v>
      </c>
      <c r="F179" s="112">
        <f ca="1">'8.0자재단가'!I50</f>
        <v>1500</v>
      </c>
      <c r="G179" s="535">
        <v>0</v>
      </c>
      <c r="H179" s="112"/>
      <c r="I179" s="112"/>
      <c r="J179" s="112"/>
      <c r="K179" s="126"/>
      <c r="L179" s="211"/>
      <c r="M179" s="211"/>
      <c r="N179" s="211"/>
    </row>
    <row r="180" spans="1:15" s="104" customFormat="1" ht="15" customHeight="1">
      <c r="A180" s="378" t="s">
        <v>1458</v>
      </c>
      <c r="B180" s="383" t="s">
        <v>1476</v>
      </c>
      <c r="C180" s="136">
        <v>25</v>
      </c>
      <c r="D180" s="110" t="s">
        <v>831</v>
      </c>
      <c r="E180" s="112">
        <f t="shared" si="12"/>
        <v>18500</v>
      </c>
      <c r="F180" s="112">
        <f ca="1">'8.0자재단가'!I53</f>
        <v>740</v>
      </c>
      <c r="G180" s="112">
        <f t="shared" ref="G180:G185" si="13">INT(C180*F180)</f>
        <v>18500</v>
      </c>
      <c r="H180" s="112"/>
      <c r="I180" s="112"/>
      <c r="J180" s="112"/>
      <c r="K180" s="126"/>
      <c r="L180" s="211"/>
      <c r="M180" s="212"/>
      <c r="N180" s="212"/>
    </row>
    <row r="181" spans="1:15" s="104" customFormat="1" ht="15" customHeight="1">
      <c r="A181" s="378" t="s">
        <v>1459</v>
      </c>
      <c r="B181" s="383" t="s">
        <v>1461</v>
      </c>
      <c r="C181" s="538">
        <v>0.38</v>
      </c>
      <c r="D181" s="110" t="s">
        <v>831</v>
      </c>
      <c r="E181" s="112">
        <f t="shared" si="12"/>
        <v>6080</v>
      </c>
      <c r="F181" s="112">
        <f ca="1">'8.0자재단가'!$I$57</f>
        <v>16000</v>
      </c>
      <c r="G181" s="112">
        <f t="shared" si="13"/>
        <v>6080</v>
      </c>
      <c r="H181" s="112"/>
      <c r="I181" s="112"/>
      <c r="J181" s="112"/>
      <c r="K181" s="126"/>
      <c r="L181" s="211"/>
      <c r="M181" s="211"/>
      <c r="N181" s="211"/>
    </row>
    <row r="182" spans="1:15" s="104" customFormat="1" ht="15" customHeight="1">
      <c r="A182" s="113" t="s">
        <v>1436</v>
      </c>
      <c r="B182" s="110" t="s">
        <v>1437</v>
      </c>
      <c r="C182" s="122">
        <v>1.7999999999999999E-2</v>
      </c>
      <c r="D182" s="110" t="s">
        <v>1409</v>
      </c>
      <c r="E182" s="112">
        <f t="shared" si="12"/>
        <v>694</v>
      </c>
      <c r="F182" s="112">
        <f ca="1">'9.0중기목록'!$F$14</f>
        <v>13117</v>
      </c>
      <c r="G182" s="112">
        <f t="shared" si="13"/>
        <v>236</v>
      </c>
      <c r="H182" s="112">
        <f ca="1">'9.0중기목록'!$E$14</f>
        <v>17696</v>
      </c>
      <c r="I182" s="112">
        <f t="shared" ref="I182:I189" si="14">INT(C182*H182)</f>
        <v>318</v>
      </c>
      <c r="J182" s="112">
        <f ca="1">'9.0중기목록'!$G$14</f>
        <v>7823</v>
      </c>
      <c r="K182" s="126">
        <f>INT(C182*J182)</f>
        <v>140</v>
      </c>
      <c r="L182" s="211"/>
      <c r="M182" s="211"/>
      <c r="N182" s="211"/>
    </row>
    <row r="183" spans="1:15" s="104" customFormat="1" ht="15" customHeight="1">
      <c r="A183" s="117" t="s">
        <v>1438</v>
      </c>
      <c r="B183" s="110" t="s">
        <v>1466</v>
      </c>
      <c r="C183" s="122">
        <v>1.7999999999999999E-2</v>
      </c>
      <c r="D183" s="110" t="s">
        <v>1409</v>
      </c>
      <c r="E183" s="112">
        <f t="shared" si="12"/>
        <v>837</v>
      </c>
      <c r="F183" s="112">
        <f ca="1">'9.0중기목록'!$F$38</f>
        <v>19373</v>
      </c>
      <c r="G183" s="112">
        <f t="shared" si="13"/>
        <v>348</v>
      </c>
      <c r="H183" s="112">
        <f ca="1">'9.0중기목록'!$E$38</f>
        <v>17696</v>
      </c>
      <c r="I183" s="112">
        <f t="shared" si="14"/>
        <v>318</v>
      </c>
      <c r="J183" s="112">
        <f ca="1">'9.0중기목록'!$G$38</f>
        <v>9529</v>
      </c>
      <c r="K183" s="126">
        <f>INT(C183*J183)</f>
        <v>171</v>
      </c>
      <c r="L183" s="211"/>
      <c r="M183" s="213"/>
      <c r="N183" s="211"/>
    </row>
    <row r="184" spans="1:15" s="104" customFormat="1" ht="15" customHeight="1">
      <c r="A184" s="121" t="s">
        <v>1434</v>
      </c>
      <c r="B184" s="110" t="s">
        <v>1435</v>
      </c>
      <c r="C184" s="122">
        <v>1.7999999999999999E-2</v>
      </c>
      <c r="D184" s="110" t="s">
        <v>1409</v>
      </c>
      <c r="E184" s="112">
        <f t="shared" si="12"/>
        <v>623</v>
      </c>
      <c r="F184" s="112">
        <f ca="1">'9.0중기목록'!$F$12</f>
        <v>6640</v>
      </c>
      <c r="G184" s="112">
        <f t="shared" si="13"/>
        <v>119</v>
      </c>
      <c r="H184" s="112">
        <f ca="1">'9.0중기목록'!$E$12</f>
        <v>17696</v>
      </c>
      <c r="I184" s="112">
        <f t="shared" si="14"/>
        <v>318</v>
      </c>
      <c r="J184" s="112">
        <f ca="1">'9.0중기목록'!$G$12</f>
        <v>10362</v>
      </c>
      <c r="K184" s="126">
        <f>INT(C184*J184)</f>
        <v>186</v>
      </c>
      <c r="L184" s="137"/>
      <c r="M184" s="137"/>
      <c r="N184" s="137"/>
      <c r="O184" s="105"/>
    </row>
    <row r="185" spans="1:15" s="104" customFormat="1" ht="15" customHeight="1">
      <c r="A185" s="117" t="s">
        <v>1462</v>
      </c>
      <c r="B185" s="110" t="s">
        <v>1463</v>
      </c>
      <c r="C185" s="122">
        <v>1.7999999999999999E-2</v>
      </c>
      <c r="D185" s="110" t="s">
        <v>1409</v>
      </c>
      <c r="E185" s="112">
        <f t="shared" si="12"/>
        <v>768</v>
      </c>
      <c r="F185" s="112">
        <f>F142</f>
        <v>10217</v>
      </c>
      <c r="G185" s="112">
        <f t="shared" si="13"/>
        <v>183</v>
      </c>
      <c r="H185" s="112">
        <f>H142</f>
        <v>16611</v>
      </c>
      <c r="I185" s="112">
        <f t="shared" si="14"/>
        <v>298</v>
      </c>
      <c r="J185" s="112">
        <f>J142</f>
        <v>15971</v>
      </c>
      <c r="K185" s="126">
        <f>INT(C185*J185)</f>
        <v>287</v>
      </c>
      <c r="L185" s="211"/>
      <c r="M185" s="211"/>
      <c r="N185" s="211"/>
    </row>
    <row r="186" spans="1:15" s="104" customFormat="1" ht="15" customHeight="1">
      <c r="A186" s="113" t="s">
        <v>1431</v>
      </c>
      <c r="B186" s="110"/>
      <c r="C186" s="122">
        <v>8.0000000000000002E-3</v>
      </c>
      <c r="D186" s="110" t="s">
        <v>1411</v>
      </c>
      <c r="E186" s="112">
        <f t="shared" si="12"/>
        <v>737</v>
      </c>
      <c r="F186" s="112"/>
      <c r="G186" s="112"/>
      <c r="H186" s="112">
        <f ca="1">'11.0시중노임'!$F$4</f>
        <v>92218</v>
      </c>
      <c r="I186" s="112">
        <f t="shared" si="14"/>
        <v>737</v>
      </c>
      <c r="J186" s="112"/>
      <c r="K186" s="126"/>
      <c r="L186" s="211"/>
      <c r="M186" s="211"/>
      <c r="N186" s="211"/>
    </row>
    <row r="187" spans="1:15" s="104" customFormat="1" ht="15" customHeight="1">
      <c r="A187" s="113" t="s">
        <v>1422</v>
      </c>
      <c r="B187" s="110"/>
      <c r="C187" s="122">
        <v>1.4999999999999999E-2</v>
      </c>
      <c r="D187" s="110" t="s">
        <v>1411</v>
      </c>
      <c r="E187" s="112">
        <f t="shared" si="12"/>
        <v>1266</v>
      </c>
      <c r="F187" s="112"/>
      <c r="G187" s="112"/>
      <c r="H187" s="112">
        <f ca="1">'11.0시중노임'!$F$5</f>
        <v>84404</v>
      </c>
      <c r="I187" s="112">
        <f t="shared" si="14"/>
        <v>1266</v>
      </c>
      <c r="J187" s="112"/>
      <c r="K187" s="126"/>
      <c r="L187" s="211"/>
      <c r="M187" s="211"/>
      <c r="N187" s="211"/>
    </row>
    <row r="188" spans="1:15" s="104" customFormat="1" ht="15" customHeight="1">
      <c r="A188" s="113" t="s">
        <v>1439</v>
      </c>
      <c r="B188" s="110"/>
      <c r="C188" s="122">
        <v>8.0000000000000002E-3</v>
      </c>
      <c r="D188" s="110" t="s">
        <v>1411</v>
      </c>
      <c r="E188" s="112">
        <f t="shared" si="12"/>
        <v>692</v>
      </c>
      <c r="F188" s="112"/>
      <c r="G188" s="112"/>
      <c r="H188" s="112">
        <f ca="1">'11.0시중노임'!$F$12</f>
        <v>86521</v>
      </c>
      <c r="I188" s="112">
        <f t="shared" si="14"/>
        <v>692</v>
      </c>
      <c r="J188" s="112"/>
      <c r="K188" s="126"/>
      <c r="L188" s="211"/>
      <c r="M188" s="211"/>
      <c r="N188" s="211"/>
    </row>
    <row r="189" spans="1:15" s="104" customFormat="1" ht="15" customHeight="1">
      <c r="A189" s="113" t="s">
        <v>1423</v>
      </c>
      <c r="B189" s="110"/>
      <c r="C189" s="122">
        <v>0.03</v>
      </c>
      <c r="D189" s="110" t="s">
        <v>1411</v>
      </c>
      <c r="E189" s="112">
        <f t="shared" si="12"/>
        <v>2068</v>
      </c>
      <c r="F189" s="112"/>
      <c r="G189" s="112"/>
      <c r="H189" s="112">
        <f ca="1">'11.0시중노임'!$F$6</f>
        <v>68965</v>
      </c>
      <c r="I189" s="112">
        <f t="shared" si="14"/>
        <v>2068</v>
      </c>
      <c r="J189" s="112"/>
      <c r="K189" s="126"/>
      <c r="L189" s="211"/>
      <c r="M189" s="213"/>
      <c r="N189" s="211"/>
    </row>
    <row r="190" spans="1:15" s="141" customFormat="1" ht="15" customHeight="1">
      <c r="A190" s="117" t="s">
        <v>1447</v>
      </c>
      <c r="B190" s="139" t="s">
        <v>1448</v>
      </c>
      <c r="C190" s="536">
        <v>3</v>
      </c>
      <c r="D190" s="139" t="s">
        <v>965</v>
      </c>
      <c r="E190" s="112">
        <f t="shared" si="12"/>
        <v>907.98</v>
      </c>
      <c r="F190" s="112">
        <f>SUM(G177:G185)</f>
        <v>30266</v>
      </c>
      <c r="G190" s="112">
        <f>F190*C190/100</f>
        <v>907.98</v>
      </c>
      <c r="H190" s="112"/>
      <c r="I190" s="112"/>
      <c r="J190" s="139"/>
      <c r="K190" s="140"/>
    </row>
    <row r="191" spans="1:15" s="141" customFormat="1" ht="15" customHeight="1">
      <c r="A191" s="117" t="s">
        <v>1449</v>
      </c>
      <c r="B191" s="139" t="s">
        <v>1450</v>
      </c>
      <c r="C191" s="536">
        <v>3</v>
      </c>
      <c r="D191" s="139" t="s">
        <v>965</v>
      </c>
      <c r="E191" s="112">
        <f t="shared" si="12"/>
        <v>180.45</v>
      </c>
      <c r="F191" s="112"/>
      <c r="G191" s="112"/>
      <c r="H191" s="112">
        <f>SUM(I182:I189)</f>
        <v>6015</v>
      </c>
      <c r="I191" s="112">
        <f>H191*C191/100</f>
        <v>180.45</v>
      </c>
      <c r="J191" s="139"/>
      <c r="K191" s="140"/>
    </row>
    <row r="192" spans="1:15" s="134" customFormat="1" ht="15" customHeight="1">
      <c r="A192" s="146" t="s">
        <v>1467</v>
      </c>
      <c r="B192" s="147"/>
      <c r="C192" s="148"/>
      <c r="D192" s="147"/>
      <c r="E192" s="131">
        <f t="shared" si="12"/>
        <v>38153.43</v>
      </c>
      <c r="F192" s="131"/>
      <c r="G192" s="131">
        <f>SUM(G177:G191)</f>
        <v>31173.98</v>
      </c>
      <c r="H192" s="131"/>
      <c r="I192" s="131">
        <f>SUM(I177:I191)</f>
        <v>6195.45</v>
      </c>
      <c r="J192" s="131"/>
      <c r="K192" s="149">
        <f>SUM(K177:K191)</f>
        <v>784</v>
      </c>
      <c r="L192" s="214"/>
      <c r="M192" s="214"/>
      <c r="N192" s="214"/>
    </row>
    <row r="193" spans="1:14" s="134" customFormat="1" ht="15" customHeight="1">
      <c r="A193" s="539"/>
      <c r="B193" s="541"/>
      <c r="C193" s="147"/>
      <c r="D193" s="148"/>
      <c r="E193" s="131"/>
      <c r="F193" s="131"/>
      <c r="G193" s="131"/>
      <c r="H193" s="131"/>
      <c r="I193" s="131"/>
      <c r="J193" s="131"/>
      <c r="K193" s="540"/>
      <c r="L193" s="214"/>
      <c r="M193" s="214"/>
      <c r="N193" s="214"/>
    </row>
    <row r="194" spans="1:14" s="134" customFormat="1" ht="15" customHeight="1">
      <c r="A194" s="539"/>
      <c r="B194" s="541"/>
      <c r="C194" s="147"/>
      <c r="D194" s="148"/>
      <c r="E194" s="131"/>
      <c r="F194" s="131"/>
      <c r="G194" s="131"/>
      <c r="H194" s="131"/>
      <c r="I194" s="131"/>
      <c r="J194" s="131"/>
      <c r="K194" s="540"/>
      <c r="L194" s="214"/>
      <c r="M194" s="214"/>
      <c r="N194" s="214"/>
    </row>
    <row r="195" spans="1:14" s="134" customFormat="1" ht="15" customHeight="1">
      <c r="A195" s="539"/>
      <c r="B195" s="541"/>
      <c r="C195" s="147"/>
      <c r="D195" s="148"/>
      <c r="E195" s="131"/>
      <c r="F195" s="131"/>
      <c r="G195" s="131"/>
      <c r="H195" s="131"/>
      <c r="I195" s="131"/>
      <c r="J195" s="131"/>
      <c r="K195" s="540"/>
      <c r="L195" s="214"/>
      <c r="M195" s="214"/>
      <c r="N195" s="214"/>
    </row>
    <row r="196" spans="1:14" s="134" customFormat="1" ht="15" customHeight="1">
      <c r="A196" s="539"/>
      <c r="B196" s="541"/>
      <c r="C196" s="147"/>
      <c r="D196" s="148"/>
      <c r="E196" s="131"/>
      <c r="F196" s="131"/>
      <c r="G196" s="131"/>
      <c r="H196" s="131"/>
      <c r="I196" s="131"/>
      <c r="J196" s="131"/>
      <c r="K196" s="540"/>
      <c r="L196" s="214"/>
      <c r="M196" s="214"/>
      <c r="N196" s="214"/>
    </row>
    <row r="197" spans="1:14" s="134" customFormat="1" ht="15" customHeight="1">
      <c r="A197" s="539"/>
      <c r="B197" s="541"/>
      <c r="C197" s="147"/>
      <c r="D197" s="148"/>
      <c r="E197" s="131"/>
      <c r="F197" s="131"/>
      <c r="G197" s="131"/>
      <c r="H197" s="131"/>
      <c r="I197" s="131"/>
      <c r="J197" s="131"/>
      <c r="K197" s="540"/>
      <c r="L197" s="214"/>
      <c r="M197" s="214"/>
      <c r="N197" s="214"/>
    </row>
    <row r="198" spans="1:14" s="134" customFormat="1" ht="15" customHeight="1">
      <c r="A198" s="539"/>
      <c r="B198" s="541"/>
      <c r="C198" s="147"/>
      <c r="D198" s="148"/>
      <c r="E198" s="131"/>
      <c r="F198" s="131"/>
      <c r="G198" s="131"/>
      <c r="H198" s="131"/>
      <c r="I198" s="131"/>
      <c r="J198" s="131"/>
      <c r="K198" s="540"/>
      <c r="L198" s="214"/>
      <c r="M198" s="214"/>
      <c r="N198" s="214"/>
    </row>
    <row r="199" spans="1:14" s="134" customFormat="1" ht="15" customHeight="1">
      <c r="A199" s="539"/>
      <c r="B199" s="541"/>
      <c r="C199" s="147"/>
      <c r="D199" s="148"/>
      <c r="E199" s="131"/>
      <c r="F199" s="131"/>
      <c r="G199" s="131"/>
      <c r="H199" s="131"/>
      <c r="I199" s="131"/>
      <c r="J199" s="131"/>
      <c r="K199" s="540"/>
      <c r="L199" s="214"/>
      <c r="M199" s="214"/>
      <c r="N199" s="214"/>
    </row>
    <row r="200" spans="1:14" s="134" customFormat="1" ht="15" customHeight="1">
      <c r="A200" s="539"/>
      <c r="B200" s="541"/>
      <c r="C200" s="147"/>
      <c r="D200" s="148"/>
      <c r="E200" s="131"/>
      <c r="F200" s="131"/>
      <c r="G200" s="131"/>
      <c r="H200" s="131"/>
      <c r="I200" s="131"/>
      <c r="J200" s="131"/>
      <c r="K200" s="540"/>
      <c r="L200" s="214"/>
      <c r="M200" s="214"/>
      <c r="N200" s="214"/>
    </row>
    <row r="201" spans="1:14" s="134" customFormat="1" ht="15" customHeight="1">
      <c r="A201" s="539"/>
      <c r="B201" s="541"/>
      <c r="C201" s="147"/>
      <c r="D201" s="148"/>
      <c r="E201" s="131"/>
      <c r="F201" s="131"/>
      <c r="G201" s="131"/>
      <c r="H201" s="131"/>
      <c r="I201" s="131"/>
      <c r="J201" s="131"/>
      <c r="K201" s="540"/>
      <c r="L201" s="214"/>
      <c r="M201" s="214"/>
      <c r="N201" s="214"/>
    </row>
    <row r="202" spans="1:14" s="134" customFormat="1" ht="15" customHeight="1">
      <c r="A202" s="539"/>
      <c r="B202" s="541"/>
      <c r="C202" s="147"/>
      <c r="D202" s="148"/>
      <c r="E202" s="131"/>
      <c r="F202" s="131"/>
      <c r="G202" s="131"/>
      <c r="H202" s="131"/>
      <c r="I202" s="131"/>
      <c r="J202" s="131"/>
      <c r="K202" s="540"/>
      <c r="L202" s="214"/>
      <c r="M202" s="214"/>
      <c r="N202" s="214"/>
    </row>
    <row r="203" spans="1:14" s="134" customFormat="1" ht="15" customHeight="1">
      <c r="A203" s="539"/>
      <c r="B203" s="541"/>
      <c r="C203" s="147"/>
      <c r="D203" s="148"/>
      <c r="E203" s="131"/>
      <c r="F203" s="131"/>
      <c r="G203" s="131"/>
      <c r="H203" s="131"/>
      <c r="I203" s="131"/>
      <c r="J203" s="131"/>
      <c r="K203" s="540"/>
      <c r="L203" s="214"/>
      <c r="M203" s="214"/>
      <c r="N203" s="214"/>
    </row>
    <row r="204" spans="1:14" s="134" customFormat="1" ht="15" customHeight="1">
      <c r="A204" s="539"/>
      <c r="B204" s="541"/>
      <c r="C204" s="147"/>
      <c r="D204" s="148"/>
      <c r="E204" s="131"/>
      <c r="F204" s="131"/>
      <c r="G204" s="131"/>
      <c r="H204" s="131"/>
      <c r="I204" s="131"/>
      <c r="J204" s="131"/>
      <c r="K204" s="540"/>
      <c r="L204" s="214"/>
      <c r="M204" s="214"/>
      <c r="N204" s="214"/>
    </row>
    <row r="205" spans="1:14" s="134" customFormat="1" ht="15" customHeight="1">
      <c r="A205" s="539"/>
      <c r="B205" s="541"/>
      <c r="C205" s="147"/>
      <c r="D205" s="148"/>
      <c r="E205" s="131"/>
      <c r="F205" s="131"/>
      <c r="G205" s="131"/>
      <c r="H205" s="131"/>
      <c r="I205" s="131"/>
      <c r="J205" s="131"/>
      <c r="K205" s="540"/>
      <c r="L205" s="214"/>
      <c r="M205" s="214"/>
      <c r="N205" s="214"/>
    </row>
    <row r="206" spans="1:14" s="104" customFormat="1" ht="15" customHeight="1">
      <c r="A206" s="119"/>
      <c r="B206" s="542"/>
      <c r="C206" s="111"/>
      <c r="D206" s="111"/>
      <c r="E206" s="112"/>
      <c r="F206" s="111"/>
      <c r="G206" s="111"/>
      <c r="H206" s="111"/>
      <c r="I206" s="111"/>
      <c r="J206" s="111"/>
      <c r="K206" s="127"/>
      <c r="L206" s="211"/>
      <c r="M206" s="211"/>
      <c r="N206" s="211"/>
    </row>
    <row r="207" spans="1:14" s="134" customFormat="1" ht="15" customHeight="1">
      <c r="A207" s="128" t="s">
        <v>1440</v>
      </c>
      <c r="B207" s="129"/>
      <c r="C207" s="129"/>
      <c r="D207" s="130"/>
      <c r="E207" s="132">
        <f>E192+E175</f>
        <v>41332.93</v>
      </c>
      <c r="F207" s="132"/>
      <c r="G207" s="132">
        <f>G192+G175</f>
        <v>31946.48</v>
      </c>
      <c r="H207" s="132"/>
      <c r="I207" s="132">
        <f>I192+I175</f>
        <v>8602.4500000000007</v>
      </c>
      <c r="J207" s="132"/>
      <c r="K207" s="133">
        <f>K192+K175</f>
        <v>784</v>
      </c>
      <c r="L207" s="214"/>
      <c r="M207" s="214"/>
      <c r="N207" s="214"/>
    </row>
    <row r="208" spans="1:14" ht="26.1" customHeight="1">
      <c r="A208" s="1837" t="s">
        <v>1469</v>
      </c>
      <c r="B208" s="1837"/>
      <c r="C208" s="1837"/>
      <c r="D208" s="1837"/>
      <c r="E208" s="1837"/>
      <c r="F208" s="1837"/>
      <c r="G208" s="1837"/>
      <c r="H208" s="1837"/>
      <c r="I208" s="1837"/>
      <c r="J208" s="1837"/>
      <c r="K208" s="1837"/>
    </row>
    <row r="209" spans="1:14" s="104" customFormat="1" ht="13.5" customHeight="1">
      <c r="A209" s="102"/>
      <c r="B209" s="102"/>
      <c r="C209" s="102"/>
      <c r="D209" s="103"/>
      <c r="E209" s="103"/>
      <c r="F209" s="102"/>
      <c r="G209" s="102"/>
      <c r="H209" s="102"/>
      <c r="I209" s="102"/>
      <c r="J209" s="102"/>
      <c r="K209" s="124" t="s">
        <v>1396</v>
      </c>
      <c r="L209" s="211"/>
      <c r="M209" s="211"/>
      <c r="N209" s="211"/>
    </row>
    <row r="210" spans="1:14" s="104" customFormat="1" ht="20.100000000000001" customHeight="1">
      <c r="A210" s="1861" t="s">
        <v>1397</v>
      </c>
      <c r="B210" s="1835" t="s">
        <v>1398</v>
      </c>
      <c r="C210" s="1835" t="s">
        <v>1399</v>
      </c>
      <c r="D210" s="1835" t="s">
        <v>1400</v>
      </c>
      <c r="E210" s="1833" t="s">
        <v>1401</v>
      </c>
      <c r="F210" s="1835" t="s">
        <v>1402</v>
      </c>
      <c r="G210" s="1835"/>
      <c r="H210" s="1835" t="s">
        <v>1403</v>
      </c>
      <c r="I210" s="1835"/>
      <c r="J210" s="1835" t="s">
        <v>1404</v>
      </c>
      <c r="K210" s="1840"/>
      <c r="L210" s="211"/>
      <c r="M210" s="211"/>
      <c r="N210" s="211"/>
    </row>
    <row r="211" spans="1:14" s="105" customFormat="1" ht="20.100000000000001" customHeight="1">
      <c r="A211" s="1862"/>
      <c r="B211" s="1836"/>
      <c r="C211" s="1836"/>
      <c r="D211" s="1836"/>
      <c r="E211" s="1834"/>
      <c r="F211" s="398" t="s">
        <v>1405</v>
      </c>
      <c r="G211" s="398" t="s">
        <v>1406</v>
      </c>
      <c r="H211" s="398" t="s">
        <v>1405</v>
      </c>
      <c r="I211" s="398" t="s">
        <v>1406</v>
      </c>
      <c r="J211" s="398" t="s">
        <v>1405</v>
      </c>
      <c r="K211" s="399" t="s">
        <v>1406</v>
      </c>
      <c r="L211" s="137"/>
      <c r="M211" s="137"/>
      <c r="N211" s="137"/>
    </row>
    <row r="212" spans="1:14" s="141" customFormat="1" ht="15" customHeight="1">
      <c r="A212" s="138" t="s">
        <v>1407</v>
      </c>
      <c r="B212" s="139"/>
      <c r="C212" s="139"/>
      <c r="D212" s="139"/>
      <c r="E212" s="139"/>
      <c r="F212" s="139"/>
      <c r="G212" s="139"/>
      <c r="H212" s="139"/>
      <c r="I212" s="139"/>
      <c r="J212" s="139"/>
      <c r="K212" s="140"/>
    </row>
    <row r="213" spans="1:14" s="141" customFormat="1" ht="15" customHeight="1">
      <c r="A213" s="117" t="s">
        <v>1408</v>
      </c>
      <c r="B213" s="204" t="s">
        <v>1445</v>
      </c>
      <c r="C213" s="111">
        <f ca="1">'3.0수량표'!$H$5</f>
        <v>1.9E-2</v>
      </c>
      <c r="D213" s="110" t="s">
        <v>1409</v>
      </c>
      <c r="E213" s="112">
        <f>G213+I213+K213</f>
        <v>576</v>
      </c>
      <c r="F213" s="112">
        <f ca="1">'9.0중기목록'!$F$34</f>
        <v>11704</v>
      </c>
      <c r="G213" s="112">
        <f ca="1">INT(C213*F213)</f>
        <v>222</v>
      </c>
      <c r="H213" s="112">
        <f ca="1">'9.0중기목록'!$E$34</f>
        <v>14915</v>
      </c>
      <c r="I213" s="112">
        <f ca="1">INT(C213*H213)</f>
        <v>283</v>
      </c>
      <c r="J213" s="112">
        <f ca="1">'9.0중기목록'!$G$34</f>
        <v>3752</v>
      </c>
      <c r="K213" s="126">
        <f>INT(C213*J213)</f>
        <v>71</v>
      </c>
    </row>
    <row r="214" spans="1:14" s="141" customFormat="1" ht="15" customHeight="1">
      <c r="A214" s="117" t="s">
        <v>1410</v>
      </c>
      <c r="B214" s="204"/>
      <c r="C214" s="111">
        <f ca="1">'3.0수량표'!$H$6</f>
        <v>1.2E-2</v>
      </c>
      <c r="D214" s="139" t="s">
        <v>1411</v>
      </c>
      <c r="E214" s="112">
        <f>G214+I214+K214</f>
        <v>954</v>
      </c>
      <c r="F214" s="112"/>
      <c r="G214" s="112"/>
      <c r="H214" s="112">
        <f ca="1">'11.0시중노임'!$F$3</f>
        <v>79533</v>
      </c>
      <c r="I214" s="112">
        <f>INT(C214*H214)</f>
        <v>954</v>
      </c>
      <c r="J214" s="139"/>
      <c r="K214" s="140"/>
    </row>
    <row r="215" spans="1:14" s="141" customFormat="1" ht="15" customHeight="1">
      <c r="A215" s="117" t="s">
        <v>1412</v>
      </c>
      <c r="B215" s="204"/>
      <c r="C215" s="111">
        <f ca="1">'3.0수량표'!$H$7</f>
        <v>1.2E-2</v>
      </c>
      <c r="D215" s="139" t="s">
        <v>1411</v>
      </c>
      <c r="E215" s="112">
        <f>G215+I215+K215</f>
        <v>827</v>
      </c>
      <c r="F215" s="112"/>
      <c r="G215" s="112"/>
      <c r="H215" s="112">
        <f ca="1">'11.0시중노임'!$F$6</f>
        <v>68965</v>
      </c>
      <c r="I215" s="112">
        <f>INT(C215*H215)</f>
        <v>827</v>
      </c>
      <c r="J215" s="139"/>
      <c r="K215" s="140"/>
    </row>
    <row r="216" spans="1:14" s="141" customFormat="1" ht="15" customHeight="1">
      <c r="A216" s="121" t="s">
        <v>1413</v>
      </c>
      <c r="B216" s="110" t="s">
        <v>1414</v>
      </c>
      <c r="C216" s="111">
        <f ca="1">'3.0수량표'!$H$8</f>
        <v>2.5</v>
      </c>
      <c r="D216" s="110" t="s">
        <v>1415</v>
      </c>
      <c r="E216" s="112">
        <f>G216+I216+K216</f>
        <v>51</v>
      </c>
      <c r="F216" s="112"/>
      <c r="G216" s="112"/>
      <c r="H216" s="112"/>
      <c r="I216" s="112"/>
      <c r="J216" s="112">
        <f>SUM(I213:I215)</f>
        <v>2064</v>
      </c>
      <c r="K216" s="126">
        <f>INT(C216*J216/100)</f>
        <v>51</v>
      </c>
    </row>
    <row r="217" spans="1:14" s="145" customFormat="1" ht="15" customHeight="1">
      <c r="A217" s="146" t="s">
        <v>1416</v>
      </c>
      <c r="B217" s="143"/>
      <c r="C217" s="143"/>
      <c r="D217" s="143"/>
      <c r="E217" s="131">
        <f>G217+I217+K217</f>
        <v>2408</v>
      </c>
      <c r="F217" s="143"/>
      <c r="G217" s="142">
        <f>SUM(G213:G216)</f>
        <v>222</v>
      </c>
      <c r="H217" s="143"/>
      <c r="I217" s="142">
        <f>SUM(I213:I216)</f>
        <v>2064</v>
      </c>
      <c r="J217" s="143"/>
      <c r="K217" s="152">
        <f>SUM(K213:K216)</f>
        <v>122</v>
      </c>
    </row>
    <row r="218" spans="1:14" s="141" customFormat="1" ht="15" customHeight="1">
      <c r="A218" s="138" t="s">
        <v>1417</v>
      </c>
      <c r="B218" s="139"/>
      <c r="C218" s="139"/>
      <c r="D218" s="139"/>
      <c r="E218" s="139"/>
      <c r="F218" s="139"/>
      <c r="G218" s="139"/>
      <c r="H218" s="139"/>
      <c r="I218" s="139"/>
      <c r="J218" s="139"/>
      <c r="K218" s="140"/>
    </row>
    <row r="219" spans="1:14" s="141" customFormat="1" ht="15" customHeight="1">
      <c r="A219" s="117" t="s">
        <v>1418</v>
      </c>
      <c r="B219" s="139" t="s">
        <v>1446</v>
      </c>
      <c r="C219" s="139">
        <f ca="1">'3.0수량표'!$H$10</f>
        <v>0.23</v>
      </c>
      <c r="D219" s="139" t="s">
        <v>1419</v>
      </c>
      <c r="E219" s="112">
        <f>G219+I219+K219</f>
        <v>207</v>
      </c>
      <c r="F219" s="112">
        <f ca="1">'8.0자재단가'!I17</f>
        <v>900</v>
      </c>
      <c r="G219" s="112">
        <f>INT(C219*F219)</f>
        <v>207</v>
      </c>
      <c r="H219" s="139"/>
      <c r="I219" s="139"/>
      <c r="J219" s="139"/>
      <c r="K219" s="140"/>
    </row>
    <row r="220" spans="1:14" s="141" customFormat="1" ht="15" customHeight="1">
      <c r="A220" s="117" t="s">
        <v>1420</v>
      </c>
      <c r="B220" s="139" t="s">
        <v>1421</v>
      </c>
      <c r="C220" s="153">
        <f ca="1">'3.0수량표'!$H$11</f>
        <v>0.5</v>
      </c>
      <c r="D220" s="139" t="s">
        <v>1419</v>
      </c>
      <c r="E220" s="112">
        <f>G220+I220+K220</f>
        <v>250</v>
      </c>
      <c r="F220" s="112">
        <f ca="1">'8.0자재단가'!I16</f>
        <v>500</v>
      </c>
      <c r="G220" s="112">
        <f>INT(C220*F220)</f>
        <v>250</v>
      </c>
      <c r="H220" s="139"/>
      <c r="I220" s="139"/>
      <c r="J220" s="139"/>
      <c r="K220" s="140"/>
    </row>
    <row r="221" spans="1:14" s="141" customFormat="1" ht="15" customHeight="1">
      <c r="A221" s="117" t="s">
        <v>1422</v>
      </c>
      <c r="B221" s="139"/>
      <c r="C221" s="139">
        <f ca="1">'3.0수량표'!$H$12</f>
        <v>6.0000000000000001E-3</v>
      </c>
      <c r="D221" s="139" t="s">
        <v>1411</v>
      </c>
      <c r="E221" s="112">
        <f>G221+I221+K221</f>
        <v>506</v>
      </c>
      <c r="F221" s="112"/>
      <c r="G221" s="112"/>
      <c r="H221" s="112">
        <f ca="1">'11.0시중노임'!$F$5</f>
        <v>84404</v>
      </c>
      <c r="I221" s="112">
        <f>INT(C221*H221)</f>
        <v>506</v>
      </c>
      <c r="J221" s="139"/>
      <c r="K221" s="140"/>
    </row>
    <row r="222" spans="1:14" s="141" customFormat="1" ht="15" customHeight="1">
      <c r="A222" s="117" t="s">
        <v>1423</v>
      </c>
      <c r="B222" s="139"/>
      <c r="C222" s="139">
        <f ca="1">'3.0수량표'!$H$13</f>
        <v>6.0000000000000001E-3</v>
      </c>
      <c r="D222" s="139" t="s">
        <v>1411</v>
      </c>
      <c r="E222" s="112">
        <f>G222+I222+K222</f>
        <v>413</v>
      </c>
      <c r="F222" s="112"/>
      <c r="G222" s="112"/>
      <c r="H222" s="112">
        <f ca="1">'11.0시중노임'!$F$6</f>
        <v>68965</v>
      </c>
      <c r="I222" s="112">
        <f>INT(C222*H222)</f>
        <v>413</v>
      </c>
      <c r="J222" s="139"/>
      <c r="K222" s="140"/>
    </row>
    <row r="223" spans="1:14" s="141" customFormat="1" ht="15" customHeight="1">
      <c r="A223" s="146" t="s">
        <v>1416</v>
      </c>
      <c r="B223" s="143"/>
      <c r="C223" s="143"/>
      <c r="D223" s="143"/>
      <c r="E223" s="131">
        <f>G223+I223+K223</f>
        <v>1376</v>
      </c>
      <c r="F223" s="143"/>
      <c r="G223" s="142">
        <f>SUM(G218:G222)</f>
        <v>457</v>
      </c>
      <c r="H223" s="143"/>
      <c r="I223" s="142">
        <f>SUM(I218:I222)</f>
        <v>919</v>
      </c>
      <c r="J223" s="143"/>
      <c r="K223" s="140"/>
    </row>
    <row r="224" spans="1:14" s="137" customFormat="1" ht="15" customHeight="1">
      <c r="A224" s="138" t="s">
        <v>1424</v>
      </c>
      <c r="B224" s="139"/>
      <c r="C224" s="139"/>
      <c r="D224" s="139"/>
      <c r="E224" s="139"/>
      <c r="F224" s="139"/>
      <c r="G224" s="139"/>
      <c r="H224" s="139"/>
      <c r="I224" s="139"/>
      <c r="J224" s="139"/>
      <c r="K224" s="140"/>
    </row>
    <row r="225" spans="1:14" s="141" customFormat="1" ht="15" customHeight="1">
      <c r="A225" s="117" t="s">
        <v>1425</v>
      </c>
      <c r="B225" s="205" t="s">
        <v>1426</v>
      </c>
      <c r="C225" s="153">
        <f ca="1">'3.0수량표'!$H$22</f>
        <v>1.3</v>
      </c>
      <c r="D225" s="204" t="s">
        <v>1427</v>
      </c>
      <c r="E225" s="112">
        <f t="shared" ref="E225:E231" si="15">G225+I225+K225</f>
        <v>2873</v>
      </c>
      <c r="F225" s="202">
        <f ca="1">'8.0자재단가'!I19</f>
        <v>2210</v>
      </c>
      <c r="G225" s="112">
        <f>INT(C225*F225)</f>
        <v>2873</v>
      </c>
      <c r="H225" s="139"/>
      <c r="I225" s="139"/>
      <c r="J225" s="139"/>
      <c r="K225" s="140"/>
    </row>
    <row r="226" spans="1:14" s="141" customFormat="1" ht="15" customHeight="1">
      <c r="A226" s="117" t="s">
        <v>1428</v>
      </c>
      <c r="B226" s="139" t="s">
        <v>1429</v>
      </c>
      <c r="C226" s="153">
        <f ca="1">'3.0수량표'!$H$23</f>
        <v>1.3</v>
      </c>
      <c r="D226" s="204" t="s">
        <v>1430</v>
      </c>
      <c r="E226" s="112">
        <f t="shared" si="15"/>
        <v>195</v>
      </c>
      <c r="F226" s="202">
        <f ca="1">'8.0자재단가'!I20</f>
        <v>150</v>
      </c>
      <c r="G226" s="112">
        <f>INT(C226*F226)</f>
        <v>195</v>
      </c>
      <c r="H226" s="139"/>
      <c r="I226" s="139"/>
      <c r="J226" s="139"/>
      <c r="K226" s="140"/>
    </row>
    <row r="227" spans="1:14" s="141" customFormat="1" ht="15" customHeight="1">
      <c r="A227" s="117" t="s">
        <v>1431</v>
      </c>
      <c r="B227" s="139"/>
      <c r="C227" s="151">
        <f ca="1">'3.0수량표'!$H$24</f>
        <v>5.0000000000000001E-3</v>
      </c>
      <c r="D227" s="139" t="s">
        <v>1411</v>
      </c>
      <c r="E227" s="112">
        <f t="shared" si="15"/>
        <v>461</v>
      </c>
      <c r="F227" s="112"/>
      <c r="G227" s="112"/>
      <c r="H227" s="112">
        <f ca="1">'11.0시중노임'!$F$4</f>
        <v>92218</v>
      </c>
      <c r="I227" s="112">
        <f>INT(C227*H227)</f>
        <v>461</v>
      </c>
      <c r="J227" s="112"/>
      <c r="K227" s="126"/>
    </row>
    <row r="228" spans="1:14" s="141" customFormat="1" ht="15" customHeight="1">
      <c r="A228" s="117" t="s">
        <v>1422</v>
      </c>
      <c r="B228" s="139"/>
      <c r="C228" s="151">
        <f ca="1">'3.0수량표'!$H$25</f>
        <v>0.02</v>
      </c>
      <c r="D228" s="139" t="s">
        <v>1411</v>
      </c>
      <c r="E228" s="112">
        <f t="shared" si="15"/>
        <v>1688</v>
      </c>
      <c r="F228" s="112"/>
      <c r="G228" s="112"/>
      <c r="H228" s="112">
        <f ca="1">'11.0시중노임'!$F$5</f>
        <v>84404</v>
      </c>
      <c r="I228" s="112">
        <f>INT(C228*H228)</f>
        <v>1688</v>
      </c>
      <c r="J228" s="139"/>
      <c r="K228" s="140"/>
    </row>
    <row r="229" spans="1:14" s="141" customFormat="1" ht="15" customHeight="1">
      <c r="A229" s="117" t="s">
        <v>1423</v>
      </c>
      <c r="B229" s="139"/>
      <c r="C229" s="151">
        <f ca="1">'3.0수량표'!$H$26</f>
        <v>0.02</v>
      </c>
      <c r="D229" s="139" t="s">
        <v>1411</v>
      </c>
      <c r="E229" s="112">
        <f t="shared" si="15"/>
        <v>1379</v>
      </c>
      <c r="F229" s="112"/>
      <c r="G229" s="112"/>
      <c r="H229" s="112">
        <f ca="1">'11.0시중노임'!$F$6</f>
        <v>68965</v>
      </c>
      <c r="I229" s="112">
        <f>INT(C229*H229)</f>
        <v>1379</v>
      </c>
      <c r="J229" s="139"/>
      <c r="K229" s="140"/>
    </row>
    <row r="230" spans="1:14" s="141" customFormat="1" ht="15" customHeight="1">
      <c r="A230" s="117" t="s">
        <v>1447</v>
      </c>
      <c r="B230" s="139" t="s">
        <v>1448</v>
      </c>
      <c r="C230" s="536">
        <v>3</v>
      </c>
      <c r="D230" s="139" t="s">
        <v>965</v>
      </c>
      <c r="E230" s="112">
        <f t="shared" si="15"/>
        <v>112.41</v>
      </c>
      <c r="F230" s="112">
        <f>SUM(G225:G226)+G219+G220+G213</f>
        <v>3747</v>
      </c>
      <c r="G230" s="112">
        <f>F230*C230/100</f>
        <v>112.41</v>
      </c>
      <c r="H230" s="112"/>
      <c r="I230" s="112"/>
      <c r="J230" s="139"/>
      <c r="K230" s="140"/>
    </row>
    <row r="231" spans="1:14" s="141" customFormat="1" ht="15" customHeight="1">
      <c r="A231" s="117" t="s">
        <v>1449</v>
      </c>
      <c r="B231" s="139" t="s">
        <v>1450</v>
      </c>
      <c r="C231" s="536">
        <v>3</v>
      </c>
      <c r="D231" s="139" t="s">
        <v>965</v>
      </c>
      <c r="E231" s="112">
        <f t="shared" si="15"/>
        <v>195.33</v>
      </c>
      <c r="F231" s="112"/>
      <c r="G231" s="112"/>
      <c r="H231" s="112">
        <f>SUM(I227:I229)+I223+I217</f>
        <v>6511</v>
      </c>
      <c r="I231" s="112">
        <f>H231*C231/100</f>
        <v>195.33</v>
      </c>
      <c r="J231" s="139"/>
      <c r="K231" s="140"/>
    </row>
    <row r="232" spans="1:14" s="145" customFormat="1" ht="15" customHeight="1">
      <c r="A232" s="146" t="s">
        <v>1416</v>
      </c>
      <c r="B232" s="143"/>
      <c r="C232" s="143"/>
      <c r="D232" s="143"/>
      <c r="E232" s="142">
        <f>SUM(E225:E231)</f>
        <v>6903.74</v>
      </c>
      <c r="F232" s="143"/>
      <c r="G232" s="142">
        <f>SUM(G225:G231)</f>
        <v>3180.41</v>
      </c>
      <c r="H232" s="143"/>
      <c r="I232" s="142">
        <f>SUM(I225:I231)</f>
        <v>3723.33</v>
      </c>
      <c r="J232" s="143"/>
      <c r="K232" s="144"/>
    </row>
    <row r="233" spans="1:14" s="145" customFormat="1" ht="15" customHeight="1">
      <c r="A233" s="146" t="s">
        <v>1468</v>
      </c>
      <c r="B233" s="143"/>
      <c r="C233" s="143"/>
      <c r="D233" s="143"/>
      <c r="E233" s="142">
        <f>SUM(E226:E232)</f>
        <v>10934.48</v>
      </c>
      <c r="F233" s="143"/>
      <c r="G233" s="142">
        <f>G232+G223+G217</f>
        <v>3859.41</v>
      </c>
      <c r="H233" s="143"/>
      <c r="I233" s="142">
        <f>I232+I223+I217</f>
        <v>6706.33</v>
      </c>
      <c r="J233" s="143"/>
      <c r="K233" s="144">
        <f>K232+K223+K217</f>
        <v>122</v>
      </c>
    </row>
    <row r="234" spans="1:14" s="137" customFormat="1" ht="15" customHeight="1">
      <c r="A234" s="138" t="s">
        <v>1432</v>
      </c>
      <c r="B234" s="139"/>
      <c r="C234" s="139"/>
      <c r="D234" s="139"/>
      <c r="E234" s="537"/>
      <c r="F234" s="139"/>
      <c r="G234" s="139"/>
      <c r="H234" s="139"/>
      <c r="I234" s="139"/>
      <c r="J234" s="139"/>
      <c r="K234" s="140"/>
    </row>
    <row r="235" spans="1:14" s="105" customFormat="1" ht="15" customHeight="1">
      <c r="A235" s="113" t="s">
        <v>1451</v>
      </c>
      <c r="B235" s="110" t="s">
        <v>1452</v>
      </c>
      <c r="C235" s="122">
        <v>0.04</v>
      </c>
      <c r="D235" s="110" t="s">
        <v>1433</v>
      </c>
      <c r="E235" s="112">
        <f t="shared" ref="E235:E250" si="16">G235+I235+K235</f>
        <v>4800</v>
      </c>
      <c r="F235" s="112">
        <f ca="1">'8.0자재단가'!I48</f>
        <v>120000</v>
      </c>
      <c r="G235" s="112">
        <f>INT(C235*F235)</f>
        <v>4800</v>
      </c>
      <c r="H235" s="112"/>
      <c r="I235" s="112"/>
      <c r="J235" s="112"/>
      <c r="K235" s="126"/>
      <c r="L235" s="137"/>
      <c r="M235" s="137"/>
      <c r="N235" s="137"/>
    </row>
    <row r="236" spans="1:14" s="104" customFormat="1" ht="15" customHeight="1">
      <c r="A236" s="113" t="s">
        <v>1453</v>
      </c>
      <c r="B236" s="110" t="s">
        <v>1454</v>
      </c>
      <c r="C236" s="122">
        <v>0.4</v>
      </c>
      <c r="D236" s="110" t="s">
        <v>1433</v>
      </c>
      <c r="E236" s="535">
        <f t="shared" si="16"/>
        <v>0</v>
      </c>
      <c r="F236" s="112">
        <f ca="1">'8.0자재단가'!I49</f>
        <v>12000</v>
      </c>
      <c r="G236" s="535">
        <v>0</v>
      </c>
      <c r="H236" s="112"/>
      <c r="I236" s="112"/>
      <c r="J236" s="112"/>
      <c r="K236" s="126"/>
      <c r="L236" s="211"/>
      <c r="M236" s="211"/>
      <c r="N236" s="211"/>
    </row>
    <row r="237" spans="1:14" s="104" customFormat="1" ht="15" customHeight="1">
      <c r="A237" s="378" t="s">
        <v>1455</v>
      </c>
      <c r="B237" s="383" t="s">
        <v>1456</v>
      </c>
      <c r="C237" s="122"/>
      <c r="D237" s="110" t="s">
        <v>1470</v>
      </c>
      <c r="E237" s="535">
        <f t="shared" si="16"/>
        <v>0</v>
      </c>
      <c r="F237" s="112">
        <f ca="1">'8.0자재단가'!I50</f>
        <v>1500</v>
      </c>
      <c r="G237" s="535">
        <v>0</v>
      </c>
      <c r="H237" s="112"/>
      <c r="I237" s="112"/>
      <c r="J237" s="112"/>
      <c r="K237" s="126"/>
      <c r="L237" s="211"/>
      <c r="M237" s="211"/>
      <c r="N237" s="211"/>
    </row>
    <row r="238" spans="1:14" s="104" customFormat="1" ht="15" customHeight="1">
      <c r="A238" s="378" t="s">
        <v>1458</v>
      </c>
      <c r="B238" s="383" t="s">
        <v>1460</v>
      </c>
      <c r="C238" s="136">
        <v>31.5</v>
      </c>
      <c r="D238" s="110" t="s">
        <v>831</v>
      </c>
      <c r="E238" s="112">
        <f t="shared" si="16"/>
        <v>23310</v>
      </c>
      <c r="F238" s="112">
        <f ca="1">'8.0자재단가'!$I$52</f>
        <v>740</v>
      </c>
      <c r="G238" s="112">
        <f t="shared" ref="G238:G243" si="17">INT(C238*F238)</f>
        <v>23310</v>
      </c>
      <c r="H238" s="112"/>
      <c r="I238" s="112"/>
      <c r="J238" s="112"/>
      <c r="K238" s="126"/>
      <c r="L238" s="211"/>
      <c r="M238" s="212"/>
      <c r="N238" s="212"/>
    </row>
    <row r="239" spans="1:14" s="104" customFormat="1" ht="15" customHeight="1">
      <c r="A239" s="378" t="s">
        <v>1459</v>
      </c>
      <c r="B239" s="383" t="s">
        <v>1461</v>
      </c>
      <c r="C239" s="538">
        <v>0.47</v>
      </c>
      <c r="D239" s="110" t="s">
        <v>831</v>
      </c>
      <c r="E239" s="112">
        <f t="shared" si="16"/>
        <v>7520</v>
      </c>
      <c r="F239" s="112">
        <f ca="1">'8.0자재단가'!$I$57</f>
        <v>16000</v>
      </c>
      <c r="G239" s="112">
        <f t="shared" si="17"/>
        <v>7520</v>
      </c>
      <c r="H239" s="112"/>
      <c r="I239" s="112"/>
      <c r="J239" s="112"/>
      <c r="K239" s="126"/>
      <c r="L239" s="211"/>
      <c r="M239" s="211"/>
      <c r="N239" s="211"/>
    </row>
    <row r="240" spans="1:14" s="104" customFormat="1" ht="15" customHeight="1">
      <c r="A240" s="113" t="s">
        <v>1436</v>
      </c>
      <c r="B240" s="110" t="s">
        <v>1437</v>
      </c>
      <c r="C240" s="122">
        <v>2.4E-2</v>
      </c>
      <c r="D240" s="110" t="s">
        <v>1409</v>
      </c>
      <c r="E240" s="112">
        <f t="shared" si="16"/>
        <v>925</v>
      </c>
      <c r="F240" s="112">
        <f ca="1">'9.0중기목록'!$F$14</f>
        <v>13117</v>
      </c>
      <c r="G240" s="112">
        <f t="shared" si="17"/>
        <v>314</v>
      </c>
      <c r="H240" s="112">
        <f ca="1">'9.0중기목록'!$E$14</f>
        <v>17696</v>
      </c>
      <c r="I240" s="112">
        <f t="shared" ref="I240:I247" si="18">INT(C240*H240)</f>
        <v>424</v>
      </c>
      <c r="J240" s="112">
        <f ca="1">'9.0중기목록'!$G$14</f>
        <v>7823</v>
      </c>
      <c r="K240" s="126">
        <f>INT(C240*J240)</f>
        <v>187</v>
      </c>
      <c r="L240" s="211"/>
      <c r="M240" s="211"/>
      <c r="N240" s="211"/>
    </row>
    <row r="241" spans="1:15" s="104" customFormat="1" ht="15" customHeight="1">
      <c r="A241" s="117" t="s">
        <v>1438</v>
      </c>
      <c r="B241" s="110" t="s">
        <v>1466</v>
      </c>
      <c r="C241" s="122">
        <v>2.4E-2</v>
      </c>
      <c r="D241" s="110" t="s">
        <v>1409</v>
      </c>
      <c r="E241" s="112">
        <f t="shared" si="16"/>
        <v>1116</v>
      </c>
      <c r="F241" s="112">
        <f ca="1">'9.0중기목록'!$F$38</f>
        <v>19373</v>
      </c>
      <c r="G241" s="112">
        <f t="shared" si="17"/>
        <v>464</v>
      </c>
      <c r="H241" s="112">
        <f ca="1">'9.0중기목록'!$E$38</f>
        <v>17696</v>
      </c>
      <c r="I241" s="112">
        <f t="shared" si="18"/>
        <v>424</v>
      </c>
      <c r="J241" s="112">
        <f ca="1">'9.0중기목록'!$G$38</f>
        <v>9529</v>
      </c>
      <c r="K241" s="126">
        <f>INT(C241*J241)</f>
        <v>228</v>
      </c>
      <c r="L241" s="211"/>
      <c r="M241" s="213"/>
      <c r="N241" s="211"/>
    </row>
    <row r="242" spans="1:15" s="104" customFormat="1" ht="15" customHeight="1">
      <c r="A242" s="121" t="s">
        <v>1434</v>
      </c>
      <c r="B242" s="110" t="s">
        <v>1435</v>
      </c>
      <c r="C242" s="122">
        <v>2.4E-2</v>
      </c>
      <c r="D242" s="110" t="s">
        <v>1409</v>
      </c>
      <c r="E242" s="112">
        <f t="shared" si="16"/>
        <v>831</v>
      </c>
      <c r="F242" s="112">
        <f ca="1">'9.0중기목록'!$F$12</f>
        <v>6640</v>
      </c>
      <c r="G242" s="112">
        <f t="shared" si="17"/>
        <v>159</v>
      </c>
      <c r="H242" s="112">
        <f ca="1">'9.0중기목록'!$E$12</f>
        <v>17696</v>
      </c>
      <c r="I242" s="112">
        <f t="shared" si="18"/>
        <v>424</v>
      </c>
      <c r="J242" s="112">
        <f ca="1">'9.0중기목록'!$G$12</f>
        <v>10362</v>
      </c>
      <c r="K242" s="126">
        <f>INT(C242*J242)</f>
        <v>248</v>
      </c>
      <c r="L242" s="137"/>
      <c r="M242" s="137"/>
      <c r="N242" s="137"/>
      <c r="O242" s="105"/>
    </row>
    <row r="243" spans="1:15" s="104" customFormat="1" ht="15" customHeight="1">
      <c r="A243" s="117" t="s">
        <v>1462</v>
      </c>
      <c r="B243" s="110" t="s">
        <v>1463</v>
      </c>
      <c r="C243" s="122">
        <v>2.4E-2</v>
      </c>
      <c r="D243" s="110" t="s">
        <v>1409</v>
      </c>
      <c r="E243" s="112">
        <f>G243+I243+K243</f>
        <v>742</v>
      </c>
      <c r="F243" s="112">
        <v>6322</v>
      </c>
      <c r="G243" s="112">
        <f t="shared" si="17"/>
        <v>151</v>
      </c>
      <c r="H243" s="112">
        <v>12969</v>
      </c>
      <c r="I243" s="112">
        <f>INT(C243*H243)</f>
        <v>311</v>
      </c>
      <c r="J243" s="112">
        <v>11692</v>
      </c>
      <c r="K243" s="126">
        <f>INT(C243*J243)</f>
        <v>280</v>
      </c>
      <c r="L243" s="211"/>
      <c r="M243" s="211"/>
      <c r="N243" s="211"/>
    </row>
    <row r="244" spans="1:15" s="104" customFormat="1" ht="15" customHeight="1">
      <c r="A244" s="113" t="s">
        <v>1431</v>
      </c>
      <c r="B244" s="110"/>
      <c r="C244" s="122">
        <v>0.01</v>
      </c>
      <c r="D244" s="110" t="s">
        <v>1411</v>
      </c>
      <c r="E244" s="112">
        <f t="shared" si="16"/>
        <v>922</v>
      </c>
      <c r="F244" s="112"/>
      <c r="G244" s="112"/>
      <c r="H244" s="112">
        <f ca="1">'11.0시중노임'!$F$4</f>
        <v>92218</v>
      </c>
      <c r="I244" s="112">
        <f t="shared" si="18"/>
        <v>922</v>
      </c>
      <c r="J244" s="112"/>
      <c r="K244" s="126"/>
      <c r="L244" s="211"/>
      <c r="M244" s="211"/>
      <c r="N244" s="211"/>
    </row>
    <row r="245" spans="1:15" s="104" customFormat="1" ht="15" customHeight="1">
      <c r="A245" s="113" t="s">
        <v>1422</v>
      </c>
      <c r="B245" s="110"/>
      <c r="C245" s="122">
        <v>0.02</v>
      </c>
      <c r="D245" s="110" t="s">
        <v>1411</v>
      </c>
      <c r="E245" s="112">
        <f t="shared" si="16"/>
        <v>1688</v>
      </c>
      <c r="F245" s="112"/>
      <c r="G245" s="112"/>
      <c r="H245" s="112">
        <f ca="1">'11.0시중노임'!$F$5</f>
        <v>84404</v>
      </c>
      <c r="I245" s="112">
        <f t="shared" si="18"/>
        <v>1688</v>
      </c>
      <c r="J245" s="112"/>
      <c r="K245" s="126"/>
      <c r="L245" s="211"/>
      <c r="M245" s="211"/>
      <c r="N245" s="211"/>
    </row>
    <row r="246" spans="1:15" s="104" customFormat="1" ht="15" customHeight="1">
      <c r="A246" s="113" t="s">
        <v>1439</v>
      </c>
      <c r="B246" s="110"/>
      <c r="C246" s="122">
        <v>0.01</v>
      </c>
      <c r="D246" s="110" t="s">
        <v>1411</v>
      </c>
      <c r="E246" s="112">
        <f t="shared" si="16"/>
        <v>865</v>
      </c>
      <c r="F246" s="112"/>
      <c r="G246" s="112"/>
      <c r="H246" s="112">
        <f ca="1">'11.0시중노임'!$F$12</f>
        <v>86521</v>
      </c>
      <c r="I246" s="112">
        <f t="shared" si="18"/>
        <v>865</v>
      </c>
      <c r="J246" s="112"/>
      <c r="K246" s="126"/>
      <c r="L246" s="211"/>
      <c r="M246" s="211"/>
      <c r="N246" s="211"/>
    </row>
    <row r="247" spans="1:15" s="104" customFormat="1" ht="15" customHeight="1">
      <c r="A247" s="113" t="s">
        <v>1423</v>
      </c>
      <c r="B247" s="110"/>
      <c r="C247" s="122">
        <v>0.04</v>
      </c>
      <c r="D247" s="110" t="s">
        <v>1411</v>
      </c>
      <c r="E247" s="112">
        <f t="shared" si="16"/>
        <v>2758</v>
      </c>
      <c r="F247" s="112"/>
      <c r="G247" s="112"/>
      <c r="H247" s="112">
        <f ca="1">'11.0시중노임'!$F$6</f>
        <v>68965</v>
      </c>
      <c r="I247" s="112">
        <f t="shared" si="18"/>
        <v>2758</v>
      </c>
      <c r="J247" s="112"/>
      <c r="K247" s="126"/>
      <c r="L247" s="211"/>
      <c r="M247" s="213"/>
      <c r="N247" s="211"/>
    </row>
    <row r="248" spans="1:15" s="141" customFormat="1" ht="15" customHeight="1">
      <c r="A248" s="117" t="s">
        <v>1447</v>
      </c>
      <c r="B248" s="139" t="s">
        <v>1448</v>
      </c>
      <c r="C248" s="536">
        <v>3</v>
      </c>
      <c r="D248" s="139" t="s">
        <v>965</v>
      </c>
      <c r="E248" s="112">
        <f t="shared" si="16"/>
        <v>1101.54</v>
      </c>
      <c r="F248" s="112">
        <f>SUM(G235:G243)</f>
        <v>36718</v>
      </c>
      <c r="G248" s="112">
        <f>F248*C248/100</f>
        <v>1101.54</v>
      </c>
      <c r="H248" s="112"/>
      <c r="I248" s="112"/>
      <c r="J248" s="139"/>
      <c r="K248" s="140"/>
    </row>
    <row r="249" spans="1:15" s="141" customFormat="1" ht="15" customHeight="1">
      <c r="A249" s="117" t="s">
        <v>1449</v>
      </c>
      <c r="B249" s="139" t="s">
        <v>1450</v>
      </c>
      <c r="C249" s="536">
        <v>3</v>
      </c>
      <c r="D249" s="139" t="s">
        <v>965</v>
      </c>
      <c r="E249" s="112">
        <f t="shared" si="16"/>
        <v>234.48</v>
      </c>
      <c r="F249" s="112"/>
      <c r="G249" s="112"/>
      <c r="H249" s="112">
        <f>SUM(I240:I247)</f>
        <v>7816</v>
      </c>
      <c r="I249" s="112">
        <f>H249*C249/100</f>
        <v>234.48</v>
      </c>
      <c r="J249" s="139"/>
      <c r="K249" s="140"/>
    </row>
    <row r="250" spans="1:15" s="134" customFormat="1" ht="15" customHeight="1">
      <c r="A250" s="146" t="s">
        <v>1467</v>
      </c>
      <c r="B250" s="147"/>
      <c r="C250" s="148"/>
      <c r="D250" s="147"/>
      <c r="E250" s="131">
        <f t="shared" si="16"/>
        <v>46813.020000000004</v>
      </c>
      <c r="F250" s="131"/>
      <c r="G250" s="131">
        <f>SUM(G235:G249)</f>
        <v>37819.54</v>
      </c>
      <c r="H250" s="131"/>
      <c r="I250" s="131">
        <f>SUM(I235:I249)</f>
        <v>8050.48</v>
      </c>
      <c r="J250" s="131"/>
      <c r="K250" s="149">
        <f>SUM(K235:K249)</f>
        <v>943</v>
      </c>
      <c r="L250" s="214"/>
      <c r="M250" s="214"/>
      <c r="N250" s="214"/>
    </row>
    <row r="251" spans="1:15" s="134" customFormat="1" ht="15" customHeight="1">
      <c r="A251" s="539"/>
      <c r="B251" s="541"/>
      <c r="C251" s="147"/>
      <c r="D251" s="148"/>
      <c r="E251" s="131"/>
      <c r="F251" s="131"/>
      <c r="G251" s="131"/>
      <c r="H251" s="131"/>
      <c r="I251" s="131"/>
      <c r="J251" s="131"/>
      <c r="K251" s="540"/>
      <c r="L251" s="214"/>
      <c r="M251" s="214"/>
      <c r="N251" s="214"/>
    </row>
    <row r="252" spans="1:15" s="104" customFormat="1" ht="15" customHeight="1">
      <c r="A252" s="119"/>
      <c r="B252" s="542"/>
      <c r="C252" s="111"/>
      <c r="D252" s="111"/>
      <c r="E252" s="112"/>
      <c r="F252" s="111"/>
      <c r="G252" s="111"/>
      <c r="H252" s="111"/>
      <c r="I252" s="111"/>
      <c r="J252" s="111"/>
      <c r="K252" s="127"/>
      <c r="L252" s="211"/>
      <c r="M252" s="211"/>
      <c r="N252" s="211"/>
    </row>
    <row r="253" spans="1:15" s="134" customFormat="1" ht="15" customHeight="1">
      <c r="A253" s="128" t="s">
        <v>1440</v>
      </c>
      <c r="B253" s="129"/>
      <c r="C253" s="129"/>
      <c r="D253" s="130"/>
      <c r="E253" s="132">
        <f>E250+E232+E223+E217</f>
        <v>57500.76</v>
      </c>
      <c r="F253" s="132"/>
      <c r="G253" s="132">
        <f>G250+G233</f>
        <v>41678.949999999997</v>
      </c>
      <c r="H253" s="132"/>
      <c r="I253" s="132">
        <f>I250+I233</f>
        <v>14756.81</v>
      </c>
      <c r="J253" s="132"/>
      <c r="K253" s="133">
        <f>K250+K233</f>
        <v>1065</v>
      </c>
      <c r="L253" s="214"/>
      <c r="M253" s="214"/>
      <c r="N253" s="214"/>
    </row>
    <row r="254" spans="1:15" ht="26.1" customHeight="1">
      <c r="A254" s="1837" t="s">
        <v>1471</v>
      </c>
      <c r="B254" s="1837"/>
      <c r="C254" s="1837"/>
      <c r="D254" s="1837"/>
      <c r="E254" s="1837"/>
      <c r="F254" s="1837"/>
      <c r="G254" s="1837"/>
      <c r="H254" s="1837"/>
      <c r="I254" s="1837"/>
      <c r="J254" s="1837"/>
      <c r="K254" s="1837"/>
    </row>
    <row r="255" spans="1:15" s="104" customFormat="1" ht="13.5" customHeight="1">
      <c r="A255" s="102"/>
      <c r="B255" s="102"/>
      <c r="C255" s="102"/>
      <c r="D255" s="103"/>
      <c r="E255" s="103"/>
      <c r="F255" s="102"/>
      <c r="G255" s="102"/>
      <c r="H255" s="102"/>
      <c r="I255" s="102"/>
      <c r="J255" s="102"/>
      <c r="K255" s="124" t="s">
        <v>1396</v>
      </c>
      <c r="L255" s="211"/>
      <c r="M255" s="211"/>
      <c r="N255" s="211"/>
    </row>
    <row r="256" spans="1:15" s="104" customFormat="1" ht="20.100000000000001" customHeight="1">
      <c r="A256" s="1861" t="s">
        <v>1397</v>
      </c>
      <c r="B256" s="1835" t="s">
        <v>1398</v>
      </c>
      <c r="C256" s="1835" t="s">
        <v>1399</v>
      </c>
      <c r="D256" s="1835" t="s">
        <v>1400</v>
      </c>
      <c r="E256" s="1833" t="s">
        <v>1401</v>
      </c>
      <c r="F256" s="1835" t="s">
        <v>1402</v>
      </c>
      <c r="G256" s="1835"/>
      <c r="H256" s="1835" t="s">
        <v>1403</v>
      </c>
      <c r="I256" s="1835"/>
      <c r="J256" s="1835" t="s">
        <v>1404</v>
      </c>
      <c r="K256" s="1840"/>
      <c r="L256" s="211"/>
      <c r="M256" s="211"/>
      <c r="N256" s="211"/>
    </row>
    <row r="257" spans="1:14" s="105" customFormat="1" ht="20.100000000000001" customHeight="1">
      <c r="A257" s="1862"/>
      <c r="B257" s="1836"/>
      <c r="C257" s="1836"/>
      <c r="D257" s="1836"/>
      <c r="E257" s="1834"/>
      <c r="F257" s="398" t="s">
        <v>1405</v>
      </c>
      <c r="G257" s="398" t="s">
        <v>1406</v>
      </c>
      <c r="H257" s="398" t="s">
        <v>1405</v>
      </c>
      <c r="I257" s="398" t="s">
        <v>1406</v>
      </c>
      <c r="J257" s="398" t="s">
        <v>1405</v>
      </c>
      <c r="K257" s="399" t="s">
        <v>1406</v>
      </c>
      <c r="L257" s="137"/>
      <c r="M257" s="137"/>
      <c r="N257" s="137"/>
    </row>
    <row r="258" spans="1:14" s="141" customFormat="1" ht="15" customHeight="1">
      <c r="A258" s="138" t="s">
        <v>1407</v>
      </c>
      <c r="B258" s="139"/>
      <c r="C258" s="139"/>
      <c r="D258" s="139"/>
      <c r="E258" s="139"/>
      <c r="F258" s="139"/>
      <c r="G258" s="139"/>
      <c r="H258" s="139"/>
      <c r="I258" s="139"/>
      <c r="J258" s="139"/>
      <c r="K258" s="140"/>
    </row>
    <row r="259" spans="1:14" s="141" customFormat="1" ht="15" customHeight="1">
      <c r="A259" s="117" t="s">
        <v>1408</v>
      </c>
      <c r="B259" s="204" t="s">
        <v>1445</v>
      </c>
      <c r="C259" s="111">
        <f ca="1">'3.0수량표'!$H$5</f>
        <v>1.9E-2</v>
      </c>
      <c r="D259" s="110" t="s">
        <v>1409</v>
      </c>
      <c r="E259" s="112">
        <f>G259+I259+K259</f>
        <v>576</v>
      </c>
      <c r="F259" s="112">
        <f ca="1">'9.0중기목록'!$F$34</f>
        <v>11704</v>
      </c>
      <c r="G259" s="112">
        <f ca="1">INT(C259*F259)</f>
        <v>222</v>
      </c>
      <c r="H259" s="112">
        <f ca="1">'9.0중기목록'!$E$34</f>
        <v>14915</v>
      </c>
      <c r="I259" s="112">
        <f ca="1">INT(C259*H259)</f>
        <v>283</v>
      </c>
      <c r="J259" s="112">
        <f ca="1">'9.0중기목록'!$G$34</f>
        <v>3752</v>
      </c>
      <c r="K259" s="126">
        <f>INT(C259*J259)</f>
        <v>71</v>
      </c>
    </row>
    <row r="260" spans="1:14" s="141" customFormat="1" ht="15" customHeight="1">
      <c r="A260" s="117" t="s">
        <v>1410</v>
      </c>
      <c r="B260" s="204"/>
      <c r="C260" s="111">
        <f ca="1">'3.0수량표'!$H$6</f>
        <v>1.2E-2</v>
      </c>
      <c r="D260" s="139" t="s">
        <v>1411</v>
      </c>
      <c r="E260" s="112">
        <f>G260+I260+K260</f>
        <v>954</v>
      </c>
      <c r="F260" s="112"/>
      <c r="G260" s="112"/>
      <c r="H260" s="112">
        <f ca="1">'11.0시중노임'!$F$3</f>
        <v>79533</v>
      </c>
      <c r="I260" s="112">
        <f>INT(C260*H260)</f>
        <v>954</v>
      </c>
      <c r="J260" s="139"/>
      <c r="K260" s="140"/>
    </row>
    <row r="261" spans="1:14" s="141" customFormat="1" ht="15" customHeight="1">
      <c r="A261" s="117" t="s">
        <v>1412</v>
      </c>
      <c r="B261" s="204"/>
      <c r="C261" s="111">
        <f ca="1">'3.0수량표'!$H$7</f>
        <v>1.2E-2</v>
      </c>
      <c r="D261" s="139" t="s">
        <v>1411</v>
      </c>
      <c r="E261" s="112">
        <f>G261+I261+K261</f>
        <v>827</v>
      </c>
      <c r="F261" s="112"/>
      <c r="G261" s="112"/>
      <c r="H261" s="112">
        <f ca="1">'11.0시중노임'!$F$6</f>
        <v>68965</v>
      </c>
      <c r="I261" s="112">
        <f>INT(C261*H261)</f>
        <v>827</v>
      </c>
      <c r="J261" s="139"/>
      <c r="K261" s="140"/>
    </row>
    <row r="262" spans="1:14" s="141" customFormat="1" ht="15" customHeight="1">
      <c r="A262" s="121" t="s">
        <v>1413</v>
      </c>
      <c r="B262" s="110" t="s">
        <v>1414</v>
      </c>
      <c r="C262" s="111">
        <f ca="1">'3.0수량표'!$H$8</f>
        <v>2.5</v>
      </c>
      <c r="D262" s="110" t="s">
        <v>1415</v>
      </c>
      <c r="E262" s="112">
        <f>G262+I262+K262</f>
        <v>51</v>
      </c>
      <c r="F262" s="112"/>
      <c r="G262" s="112"/>
      <c r="H262" s="112"/>
      <c r="I262" s="112"/>
      <c r="J262" s="112">
        <f>SUM(I259:I261)</f>
        <v>2064</v>
      </c>
      <c r="K262" s="126">
        <f>INT(C262*J262/100)</f>
        <v>51</v>
      </c>
    </row>
    <row r="263" spans="1:14" s="145" customFormat="1" ht="15" customHeight="1">
      <c r="A263" s="146" t="s">
        <v>1416</v>
      </c>
      <c r="B263" s="143"/>
      <c r="C263" s="143"/>
      <c r="D263" s="143"/>
      <c r="E263" s="131">
        <f>G263+I263+K263</f>
        <v>2408</v>
      </c>
      <c r="F263" s="143"/>
      <c r="G263" s="142">
        <f>SUM(G259:G262)</f>
        <v>222</v>
      </c>
      <c r="H263" s="143"/>
      <c r="I263" s="142">
        <f>SUM(I259:I262)</f>
        <v>2064</v>
      </c>
      <c r="J263" s="143"/>
      <c r="K263" s="152">
        <f>SUM(K259:K262)</f>
        <v>122</v>
      </c>
    </row>
    <row r="264" spans="1:14" s="141" customFormat="1" ht="15" customHeight="1">
      <c r="A264" s="138" t="s">
        <v>1417</v>
      </c>
      <c r="B264" s="139"/>
      <c r="C264" s="139"/>
      <c r="D264" s="139"/>
      <c r="E264" s="139"/>
      <c r="F264" s="139"/>
      <c r="G264" s="139"/>
      <c r="H264" s="139"/>
      <c r="I264" s="139"/>
      <c r="J264" s="139"/>
      <c r="K264" s="140"/>
    </row>
    <row r="265" spans="1:14" s="141" customFormat="1" ht="15" customHeight="1">
      <c r="A265" s="117" t="s">
        <v>1418</v>
      </c>
      <c r="B265" s="139" t="s">
        <v>1446</v>
      </c>
      <c r="C265" s="139">
        <f ca="1">'3.0수량표'!$H$10</f>
        <v>0.23</v>
      </c>
      <c r="D265" s="139" t="s">
        <v>1419</v>
      </c>
      <c r="E265" s="112">
        <f>G265+I265+K265</f>
        <v>207</v>
      </c>
      <c r="F265" s="112">
        <f>F219</f>
        <v>900</v>
      </c>
      <c r="G265" s="112">
        <f>INT(C265*F265)</f>
        <v>207</v>
      </c>
      <c r="H265" s="139"/>
      <c r="I265" s="139"/>
      <c r="J265" s="139"/>
      <c r="K265" s="140"/>
    </row>
    <row r="266" spans="1:14" s="141" customFormat="1" ht="15" customHeight="1">
      <c r="A266" s="117" t="s">
        <v>1420</v>
      </c>
      <c r="B266" s="139" t="s">
        <v>1421</v>
      </c>
      <c r="C266" s="153">
        <f ca="1">'3.0수량표'!$H$11</f>
        <v>0.5</v>
      </c>
      <c r="D266" s="139" t="s">
        <v>1419</v>
      </c>
      <c r="E266" s="112">
        <f>G266+I266+K266</f>
        <v>250</v>
      </c>
      <c r="F266" s="112">
        <f>F220</f>
        <v>500</v>
      </c>
      <c r="G266" s="112">
        <f>INT(C266*F266)</f>
        <v>250</v>
      </c>
      <c r="H266" s="139"/>
      <c r="I266" s="139"/>
      <c r="J266" s="139"/>
      <c r="K266" s="140"/>
    </row>
    <row r="267" spans="1:14" s="141" customFormat="1" ht="15" customHeight="1">
      <c r="A267" s="117" t="s">
        <v>1422</v>
      </c>
      <c r="B267" s="139"/>
      <c r="C267" s="139">
        <f ca="1">'3.0수량표'!$H$12</f>
        <v>6.0000000000000001E-3</v>
      </c>
      <c r="D267" s="139" t="s">
        <v>1411</v>
      </c>
      <c r="E267" s="112">
        <f>G267+I267+K267</f>
        <v>506</v>
      </c>
      <c r="F267" s="112"/>
      <c r="G267" s="112"/>
      <c r="H267" s="112">
        <f ca="1">'11.0시중노임'!$F$5</f>
        <v>84404</v>
      </c>
      <c r="I267" s="112">
        <f>INT(C267*H267)</f>
        <v>506</v>
      </c>
      <c r="J267" s="139"/>
      <c r="K267" s="140"/>
    </row>
    <row r="268" spans="1:14" s="141" customFormat="1" ht="15" customHeight="1">
      <c r="A268" s="117" t="s">
        <v>1423</v>
      </c>
      <c r="B268" s="139"/>
      <c r="C268" s="139">
        <f ca="1">'3.0수량표'!$H$13</f>
        <v>6.0000000000000001E-3</v>
      </c>
      <c r="D268" s="139" t="s">
        <v>1411</v>
      </c>
      <c r="E268" s="112">
        <f>G268+I268+K268</f>
        <v>413</v>
      </c>
      <c r="F268" s="112"/>
      <c r="G268" s="112"/>
      <c r="H268" s="112">
        <f ca="1">'11.0시중노임'!$F$6</f>
        <v>68965</v>
      </c>
      <c r="I268" s="112">
        <f>INT(C268*H268)</f>
        <v>413</v>
      </c>
      <c r="J268" s="139"/>
      <c r="K268" s="140"/>
    </row>
    <row r="269" spans="1:14" s="141" customFormat="1" ht="15" customHeight="1">
      <c r="A269" s="146" t="s">
        <v>1416</v>
      </c>
      <c r="B269" s="143"/>
      <c r="C269" s="143"/>
      <c r="D269" s="143"/>
      <c r="E269" s="131">
        <f>G269+I269+K269</f>
        <v>1376</v>
      </c>
      <c r="F269" s="143"/>
      <c r="G269" s="142">
        <f>SUM(G264:G268)</f>
        <v>457</v>
      </c>
      <c r="H269" s="143"/>
      <c r="I269" s="142">
        <f>SUM(I264:I268)</f>
        <v>919</v>
      </c>
      <c r="J269" s="143"/>
      <c r="K269" s="140"/>
    </row>
    <row r="270" spans="1:14" s="137" customFormat="1" ht="15" customHeight="1">
      <c r="A270" s="138" t="s">
        <v>1424</v>
      </c>
      <c r="B270" s="139"/>
      <c r="C270" s="139"/>
      <c r="D270" s="139"/>
      <c r="E270" s="139"/>
      <c r="F270" s="139"/>
      <c r="G270" s="139"/>
      <c r="H270" s="139"/>
      <c r="I270" s="139"/>
      <c r="J270" s="139"/>
      <c r="K270" s="140"/>
    </row>
    <row r="271" spans="1:14" s="141" customFormat="1" ht="15" customHeight="1">
      <c r="A271" s="117" t="s">
        <v>1425</v>
      </c>
      <c r="B271" s="205" t="s">
        <v>1426</v>
      </c>
      <c r="C271" s="153">
        <f ca="1">'3.0수량표'!$H$22</f>
        <v>1.3</v>
      </c>
      <c r="D271" s="204" t="s">
        <v>1427</v>
      </c>
      <c r="E271" s="112">
        <f t="shared" ref="E271:E277" si="19">G271+I271+K271</f>
        <v>2873</v>
      </c>
      <c r="F271" s="202">
        <f>F225</f>
        <v>2210</v>
      </c>
      <c r="G271" s="112">
        <f>INT(C271*F271)</f>
        <v>2873</v>
      </c>
      <c r="H271" s="139"/>
      <c r="I271" s="139"/>
      <c r="J271" s="139"/>
      <c r="K271" s="140"/>
    </row>
    <row r="272" spans="1:14" s="141" customFormat="1" ht="15" customHeight="1">
      <c r="A272" s="117" t="s">
        <v>1428</v>
      </c>
      <c r="B272" s="139" t="s">
        <v>1429</v>
      </c>
      <c r="C272" s="153">
        <f ca="1">'3.0수량표'!$H$23</f>
        <v>1.3</v>
      </c>
      <c r="D272" s="204" t="s">
        <v>1430</v>
      </c>
      <c r="E272" s="112">
        <f t="shared" si="19"/>
        <v>195</v>
      </c>
      <c r="F272" s="202">
        <f>F226</f>
        <v>150</v>
      </c>
      <c r="G272" s="112">
        <f>INT(C272*F272)</f>
        <v>195</v>
      </c>
      <c r="H272" s="139"/>
      <c r="I272" s="139"/>
      <c r="J272" s="139"/>
      <c r="K272" s="140"/>
    </row>
    <row r="273" spans="1:15" s="141" customFormat="1" ht="15" customHeight="1">
      <c r="A273" s="117" t="s">
        <v>1431</v>
      </c>
      <c r="B273" s="139"/>
      <c r="C273" s="151">
        <f ca="1">'3.0수량표'!$H$24</f>
        <v>5.0000000000000001E-3</v>
      </c>
      <c r="D273" s="139" t="s">
        <v>1411</v>
      </c>
      <c r="E273" s="112">
        <f t="shared" si="19"/>
        <v>461</v>
      </c>
      <c r="F273" s="112"/>
      <c r="G273" s="112"/>
      <c r="H273" s="112">
        <f ca="1">'11.0시중노임'!$F$4</f>
        <v>92218</v>
      </c>
      <c r="I273" s="112">
        <f>INT(C273*H273)</f>
        <v>461</v>
      </c>
      <c r="J273" s="112"/>
      <c r="K273" s="126"/>
    </row>
    <row r="274" spans="1:15" s="141" customFormat="1" ht="15" customHeight="1">
      <c r="A274" s="117" t="s">
        <v>1422</v>
      </c>
      <c r="B274" s="139"/>
      <c r="C274" s="151">
        <f ca="1">'3.0수량표'!$H$25</f>
        <v>0.02</v>
      </c>
      <c r="D274" s="139" t="s">
        <v>1411</v>
      </c>
      <c r="E274" s="112">
        <f t="shared" si="19"/>
        <v>1688</v>
      </c>
      <c r="F274" s="112"/>
      <c r="G274" s="112"/>
      <c r="H274" s="112">
        <f ca="1">'11.0시중노임'!$F$5</f>
        <v>84404</v>
      </c>
      <c r="I274" s="112">
        <f>INT(C274*H274)</f>
        <v>1688</v>
      </c>
      <c r="J274" s="139"/>
      <c r="K274" s="140"/>
    </row>
    <row r="275" spans="1:15" s="141" customFormat="1" ht="15" customHeight="1">
      <c r="A275" s="117" t="s">
        <v>1423</v>
      </c>
      <c r="B275" s="139"/>
      <c r="C275" s="151">
        <f ca="1">'3.0수량표'!$H$26</f>
        <v>0.02</v>
      </c>
      <c r="D275" s="139" t="s">
        <v>1411</v>
      </c>
      <c r="E275" s="112">
        <f t="shared" si="19"/>
        <v>1379</v>
      </c>
      <c r="F275" s="112"/>
      <c r="G275" s="112"/>
      <c r="H275" s="112">
        <f ca="1">'11.0시중노임'!$F$6</f>
        <v>68965</v>
      </c>
      <c r="I275" s="112">
        <f>INT(C275*H275)</f>
        <v>1379</v>
      </c>
      <c r="J275" s="139"/>
      <c r="K275" s="140"/>
    </row>
    <row r="276" spans="1:15" s="141" customFormat="1" ht="15" customHeight="1">
      <c r="A276" s="117" t="s">
        <v>1447</v>
      </c>
      <c r="B276" s="139" t="s">
        <v>1448</v>
      </c>
      <c r="C276" s="536">
        <v>3</v>
      </c>
      <c r="D276" s="139" t="s">
        <v>965</v>
      </c>
      <c r="E276" s="112">
        <f t="shared" si="19"/>
        <v>112.41</v>
      </c>
      <c r="F276" s="112">
        <f>SUM(G271:G272)+G265+G266+G259</f>
        <v>3747</v>
      </c>
      <c r="G276" s="112">
        <f>F276*C276/100</f>
        <v>112.41</v>
      </c>
      <c r="H276" s="112"/>
      <c r="I276" s="112"/>
      <c r="J276" s="139"/>
      <c r="K276" s="140"/>
    </row>
    <row r="277" spans="1:15" s="141" customFormat="1" ht="15" customHeight="1">
      <c r="A277" s="117" t="s">
        <v>1449</v>
      </c>
      <c r="B277" s="139" t="s">
        <v>1450</v>
      </c>
      <c r="C277" s="536">
        <v>3</v>
      </c>
      <c r="D277" s="139" t="s">
        <v>965</v>
      </c>
      <c r="E277" s="112">
        <f t="shared" si="19"/>
        <v>195.33</v>
      </c>
      <c r="F277" s="112"/>
      <c r="G277" s="112"/>
      <c r="H277" s="112">
        <f>SUM(I273:I275)+I269+I263</f>
        <v>6511</v>
      </c>
      <c r="I277" s="112">
        <f>H277*C277/100</f>
        <v>195.33</v>
      </c>
      <c r="J277" s="139"/>
      <c r="K277" s="140"/>
    </row>
    <row r="278" spans="1:15" s="145" customFormat="1" ht="15" customHeight="1">
      <c r="A278" s="146" t="s">
        <v>1416</v>
      </c>
      <c r="B278" s="143"/>
      <c r="C278" s="143"/>
      <c r="D278" s="143"/>
      <c r="E278" s="142">
        <f>SUM(E271:E277)</f>
        <v>6903.74</v>
      </c>
      <c r="F278" s="143"/>
      <c r="G278" s="142">
        <f>SUM(G271:G277)</f>
        <v>3180.41</v>
      </c>
      <c r="H278" s="143"/>
      <c r="I278" s="142">
        <f>SUM(I271:I277)</f>
        <v>3723.33</v>
      </c>
      <c r="J278" s="143"/>
      <c r="K278" s="144"/>
    </row>
    <row r="279" spans="1:15" s="145" customFormat="1" ht="15" customHeight="1">
      <c r="A279" s="146" t="s">
        <v>1468</v>
      </c>
      <c r="B279" s="143"/>
      <c r="C279" s="143"/>
      <c r="D279" s="143"/>
      <c r="E279" s="142">
        <f>SUM(E272:E278)</f>
        <v>10934.48</v>
      </c>
      <c r="F279" s="143"/>
      <c r="G279" s="142">
        <f>G278+G269+G263</f>
        <v>3859.41</v>
      </c>
      <c r="H279" s="143"/>
      <c r="I279" s="142">
        <f>I278+I269+I263</f>
        <v>6706.33</v>
      </c>
      <c r="J279" s="143"/>
      <c r="K279" s="144">
        <f>K278+K269+K263</f>
        <v>122</v>
      </c>
    </row>
    <row r="280" spans="1:15" s="137" customFormat="1" ht="15" customHeight="1">
      <c r="A280" s="138" t="s">
        <v>1432</v>
      </c>
      <c r="B280" s="139"/>
      <c r="C280" s="139"/>
      <c r="D280" s="139"/>
      <c r="E280" s="537"/>
      <c r="F280" s="139"/>
      <c r="G280" s="139"/>
      <c r="H280" s="139"/>
      <c r="I280" s="139"/>
      <c r="J280" s="139"/>
      <c r="K280" s="140"/>
    </row>
    <row r="281" spans="1:15" s="105" customFormat="1" ht="15" customHeight="1">
      <c r="A281" s="113" t="s">
        <v>1451</v>
      </c>
      <c r="B281" s="110" t="s">
        <v>1452</v>
      </c>
      <c r="C281" s="122">
        <v>0.04</v>
      </c>
      <c r="D281" s="110" t="s">
        <v>1433</v>
      </c>
      <c r="E281" s="112">
        <f t="shared" ref="E281:E296" si="20">G281+I281+K281</f>
        <v>4800</v>
      </c>
      <c r="F281" s="112">
        <f ca="1">'8.0자재단가'!I48</f>
        <v>120000</v>
      </c>
      <c r="G281" s="112">
        <f>INT(C281*F281)</f>
        <v>4800</v>
      </c>
      <c r="H281" s="112"/>
      <c r="I281" s="112"/>
      <c r="J281" s="112"/>
      <c r="K281" s="126"/>
      <c r="L281" s="137"/>
      <c r="M281" s="137"/>
      <c r="N281" s="137"/>
    </row>
    <row r="282" spans="1:15" s="104" customFormat="1" ht="15" customHeight="1">
      <c r="A282" s="113" t="s">
        <v>1453</v>
      </c>
      <c r="B282" s="110" t="s">
        <v>1454</v>
      </c>
      <c r="C282" s="122">
        <v>0.4</v>
      </c>
      <c r="D282" s="110" t="s">
        <v>1433</v>
      </c>
      <c r="E282" s="535">
        <f t="shared" si="20"/>
        <v>0</v>
      </c>
      <c r="F282" s="112">
        <f ca="1">'8.0자재단가'!I49</f>
        <v>12000</v>
      </c>
      <c r="G282" s="535">
        <v>0</v>
      </c>
      <c r="H282" s="112"/>
      <c r="I282" s="112"/>
      <c r="J282" s="112"/>
      <c r="K282" s="126"/>
      <c r="L282" s="211"/>
      <c r="M282" s="211"/>
      <c r="N282" s="211"/>
    </row>
    <row r="283" spans="1:15" s="104" customFormat="1" ht="15" customHeight="1">
      <c r="A283" s="378" t="s">
        <v>1455</v>
      </c>
      <c r="B283" s="383" t="s">
        <v>1456</v>
      </c>
      <c r="C283" s="122"/>
      <c r="D283" s="110" t="s">
        <v>1470</v>
      </c>
      <c r="E283" s="535">
        <f t="shared" si="20"/>
        <v>0</v>
      </c>
      <c r="F283" s="112">
        <f ca="1">'8.0자재단가'!I50</f>
        <v>1500</v>
      </c>
      <c r="G283" s="535">
        <v>0</v>
      </c>
      <c r="H283" s="112"/>
      <c r="I283" s="112"/>
      <c r="J283" s="112"/>
      <c r="K283" s="126"/>
      <c r="L283" s="211"/>
      <c r="M283" s="211"/>
      <c r="N283" s="211"/>
    </row>
    <row r="284" spans="1:15" s="104" customFormat="1" ht="15" customHeight="1">
      <c r="A284" s="378" t="s">
        <v>1458</v>
      </c>
      <c r="B284" s="383" t="s">
        <v>1472</v>
      </c>
      <c r="C284" s="136">
        <v>38.200000000000003</v>
      </c>
      <c r="D284" s="110" t="s">
        <v>831</v>
      </c>
      <c r="E284" s="112">
        <f t="shared" si="20"/>
        <v>28268</v>
      </c>
      <c r="F284" s="112">
        <f ca="1">'8.0자재단가'!$I$51</f>
        <v>740</v>
      </c>
      <c r="G284" s="112">
        <f t="shared" ref="G284:G289" si="21">INT(C284*F284)</f>
        <v>28268</v>
      </c>
      <c r="H284" s="112"/>
      <c r="I284" s="112"/>
      <c r="J284" s="112"/>
      <c r="K284" s="126"/>
      <c r="L284" s="211"/>
      <c r="M284" s="212"/>
      <c r="N284" s="212"/>
    </row>
    <row r="285" spans="1:15" s="104" customFormat="1" ht="15" customHeight="1">
      <c r="A285" s="378" t="s">
        <v>1459</v>
      </c>
      <c r="B285" s="383" t="s">
        <v>1461</v>
      </c>
      <c r="C285" s="538">
        <v>0.56999999999999995</v>
      </c>
      <c r="D285" s="110" t="s">
        <v>831</v>
      </c>
      <c r="E285" s="112">
        <f t="shared" si="20"/>
        <v>9120</v>
      </c>
      <c r="F285" s="112">
        <f ca="1">'8.0자재단가'!$I$57</f>
        <v>16000</v>
      </c>
      <c r="G285" s="112">
        <f t="shared" si="21"/>
        <v>9120</v>
      </c>
      <c r="H285" s="112"/>
      <c r="I285" s="112"/>
      <c r="J285" s="112"/>
      <c r="K285" s="126"/>
      <c r="L285" s="211"/>
      <c r="M285" s="211"/>
      <c r="N285" s="211"/>
    </row>
    <row r="286" spans="1:15" s="104" customFormat="1" ht="15" customHeight="1">
      <c r="A286" s="113" t="s">
        <v>1436</v>
      </c>
      <c r="B286" s="110" t="s">
        <v>1437</v>
      </c>
      <c r="C286" s="122">
        <v>0.03</v>
      </c>
      <c r="D286" s="110" t="s">
        <v>1409</v>
      </c>
      <c r="E286" s="112">
        <f t="shared" si="20"/>
        <v>1157</v>
      </c>
      <c r="F286" s="112">
        <f ca="1">'9.0중기목록'!$F$14</f>
        <v>13117</v>
      </c>
      <c r="G286" s="112">
        <f t="shared" si="21"/>
        <v>393</v>
      </c>
      <c r="H286" s="112">
        <f ca="1">'9.0중기목록'!$E$14</f>
        <v>17696</v>
      </c>
      <c r="I286" s="112">
        <f t="shared" ref="I286:I293" si="22">INT(C286*H286)</f>
        <v>530</v>
      </c>
      <c r="J286" s="112">
        <f ca="1">'9.0중기목록'!$G$14</f>
        <v>7823</v>
      </c>
      <c r="K286" s="126">
        <f>INT(C286*J286)</f>
        <v>234</v>
      </c>
      <c r="L286" s="211"/>
      <c r="M286" s="211"/>
      <c r="N286" s="211"/>
    </row>
    <row r="287" spans="1:15" s="104" customFormat="1" ht="15" customHeight="1">
      <c r="A287" s="117" t="s">
        <v>1438</v>
      </c>
      <c r="B287" s="110" t="s">
        <v>1466</v>
      </c>
      <c r="C287" s="122">
        <v>0.03</v>
      </c>
      <c r="D287" s="110" t="s">
        <v>1409</v>
      </c>
      <c r="E287" s="112">
        <f t="shared" si="20"/>
        <v>1396</v>
      </c>
      <c r="F287" s="112">
        <f ca="1">'9.0중기목록'!$F$38</f>
        <v>19373</v>
      </c>
      <c r="G287" s="112">
        <f t="shared" si="21"/>
        <v>581</v>
      </c>
      <c r="H287" s="112">
        <f ca="1">'9.0중기목록'!$E$38</f>
        <v>17696</v>
      </c>
      <c r="I287" s="112">
        <f t="shared" si="22"/>
        <v>530</v>
      </c>
      <c r="J287" s="112">
        <f ca="1">'9.0중기목록'!$G$38</f>
        <v>9529</v>
      </c>
      <c r="K287" s="126">
        <f>INT(C287*J287)</f>
        <v>285</v>
      </c>
      <c r="L287" s="211"/>
      <c r="M287" s="213"/>
      <c r="N287" s="211"/>
    </row>
    <row r="288" spans="1:15" s="104" customFormat="1" ht="15" customHeight="1">
      <c r="A288" s="121" t="s">
        <v>1434</v>
      </c>
      <c r="B288" s="110" t="s">
        <v>1435</v>
      </c>
      <c r="C288" s="122">
        <v>0.03</v>
      </c>
      <c r="D288" s="110" t="s">
        <v>1409</v>
      </c>
      <c r="E288" s="112">
        <f t="shared" si="20"/>
        <v>1039</v>
      </c>
      <c r="F288" s="112">
        <f ca="1">'9.0중기목록'!$F$12</f>
        <v>6640</v>
      </c>
      <c r="G288" s="112">
        <f t="shared" si="21"/>
        <v>199</v>
      </c>
      <c r="H288" s="112">
        <f ca="1">'9.0중기목록'!$E$12</f>
        <v>17696</v>
      </c>
      <c r="I288" s="112">
        <f t="shared" si="22"/>
        <v>530</v>
      </c>
      <c r="J288" s="112">
        <f ca="1">'9.0중기목록'!$G$12</f>
        <v>10362</v>
      </c>
      <c r="K288" s="126">
        <f>INT(C288*J288)</f>
        <v>310</v>
      </c>
      <c r="L288" s="137"/>
      <c r="M288" s="137"/>
      <c r="N288" s="137"/>
      <c r="O288" s="105"/>
    </row>
    <row r="289" spans="1:14" s="104" customFormat="1" ht="15" customHeight="1">
      <c r="A289" s="117" t="s">
        <v>1462</v>
      </c>
      <c r="B289" s="110" t="s">
        <v>1463</v>
      </c>
      <c r="C289" s="122">
        <v>2.4E-2</v>
      </c>
      <c r="D289" s="110" t="s">
        <v>1409</v>
      </c>
      <c r="E289" s="112">
        <f t="shared" si="20"/>
        <v>1026</v>
      </c>
      <c r="F289" s="112">
        <f ca="1">'9.0중기목록'!F48</f>
        <v>10217</v>
      </c>
      <c r="G289" s="112">
        <f t="shared" si="21"/>
        <v>245</v>
      </c>
      <c r="H289" s="112">
        <f ca="1">'9.0중기목록'!E48</f>
        <v>16611</v>
      </c>
      <c r="I289" s="112">
        <f t="shared" si="22"/>
        <v>398</v>
      </c>
      <c r="J289" s="112">
        <f ca="1">'9.0중기목록'!G48</f>
        <v>15971</v>
      </c>
      <c r="K289" s="126">
        <f>INT(C289*J289)</f>
        <v>383</v>
      </c>
      <c r="L289" s="211"/>
      <c r="M289" s="211"/>
      <c r="N289" s="211"/>
    </row>
    <row r="290" spans="1:14" s="104" customFormat="1" ht="15" customHeight="1">
      <c r="A290" s="113" t="s">
        <v>1431</v>
      </c>
      <c r="B290" s="110"/>
      <c r="C290" s="122">
        <v>1.2E-2</v>
      </c>
      <c r="D290" s="110" t="s">
        <v>1411</v>
      </c>
      <c r="E290" s="112">
        <f t="shared" si="20"/>
        <v>1106</v>
      </c>
      <c r="F290" s="112"/>
      <c r="G290" s="112"/>
      <c r="H290" s="112">
        <f ca="1">'11.0시중노임'!$F$4</f>
        <v>92218</v>
      </c>
      <c r="I290" s="112">
        <f t="shared" si="22"/>
        <v>1106</v>
      </c>
      <c r="J290" s="112"/>
      <c r="K290" s="126"/>
      <c r="L290" s="211"/>
      <c r="M290" s="211"/>
      <c r="N290" s="211"/>
    </row>
    <row r="291" spans="1:14" s="104" customFormat="1" ht="15" customHeight="1">
      <c r="A291" s="113" t="s">
        <v>1422</v>
      </c>
      <c r="B291" s="110"/>
      <c r="C291" s="122">
        <v>2.5000000000000001E-2</v>
      </c>
      <c r="D291" s="110" t="s">
        <v>1411</v>
      </c>
      <c r="E291" s="112">
        <f t="shared" si="20"/>
        <v>2110</v>
      </c>
      <c r="F291" s="112"/>
      <c r="G291" s="112"/>
      <c r="H291" s="112">
        <f ca="1">'11.0시중노임'!$F$5</f>
        <v>84404</v>
      </c>
      <c r="I291" s="112">
        <f t="shared" si="22"/>
        <v>2110</v>
      </c>
      <c r="J291" s="112"/>
      <c r="K291" s="126"/>
      <c r="L291" s="211"/>
      <c r="M291" s="211"/>
      <c r="N291" s="211"/>
    </row>
    <row r="292" spans="1:14" s="104" customFormat="1" ht="15" customHeight="1">
      <c r="A292" s="113" t="s">
        <v>1439</v>
      </c>
      <c r="B292" s="110"/>
      <c r="C292" s="122">
        <v>1.2E-2</v>
      </c>
      <c r="D292" s="110" t="s">
        <v>1411</v>
      </c>
      <c r="E292" s="112">
        <f t="shared" si="20"/>
        <v>1038</v>
      </c>
      <c r="F292" s="112"/>
      <c r="G292" s="112"/>
      <c r="H292" s="112">
        <f ca="1">'11.0시중노임'!$F$12</f>
        <v>86521</v>
      </c>
      <c r="I292" s="112">
        <f t="shared" si="22"/>
        <v>1038</v>
      </c>
      <c r="J292" s="112"/>
      <c r="K292" s="126"/>
      <c r="L292" s="211"/>
      <c r="M292" s="211"/>
      <c r="N292" s="211"/>
    </row>
    <row r="293" spans="1:14" s="104" customFormat="1" ht="15" customHeight="1">
      <c r="A293" s="113" t="s">
        <v>1423</v>
      </c>
      <c r="B293" s="110"/>
      <c r="C293" s="122">
        <v>0.05</v>
      </c>
      <c r="D293" s="110" t="s">
        <v>1411</v>
      </c>
      <c r="E293" s="112">
        <f t="shared" si="20"/>
        <v>3448</v>
      </c>
      <c r="F293" s="112"/>
      <c r="G293" s="112"/>
      <c r="H293" s="112">
        <f ca="1">'11.0시중노임'!$F$6</f>
        <v>68965</v>
      </c>
      <c r="I293" s="112">
        <f t="shared" si="22"/>
        <v>3448</v>
      </c>
      <c r="J293" s="112"/>
      <c r="K293" s="126"/>
      <c r="L293" s="211"/>
      <c r="M293" s="213"/>
      <c r="N293" s="211"/>
    </row>
    <row r="294" spans="1:14" s="141" customFormat="1" ht="15" customHeight="1">
      <c r="A294" s="117" t="s">
        <v>1447</v>
      </c>
      <c r="B294" s="139" t="s">
        <v>1448</v>
      </c>
      <c r="C294" s="536">
        <v>3</v>
      </c>
      <c r="D294" s="139" t="s">
        <v>965</v>
      </c>
      <c r="E294" s="112">
        <f t="shared" si="20"/>
        <v>1308.18</v>
      </c>
      <c r="F294" s="112">
        <f>SUM(G281:G289)</f>
        <v>43606</v>
      </c>
      <c r="G294" s="112">
        <f>F294*C294/100</f>
        <v>1308.18</v>
      </c>
      <c r="H294" s="112"/>
      <c r="I294" s="112"/>
      <c r="J294" s="139"/>
      <c r="K294" s="140"/>
    </row>
    <row r="295" spans="1:14" s="141" customFormat="1" ht="15" customHeight="1">
      <c r="A295" s="117" t="s">
        <v>1449</v>
      </c>
      <c r="B295" s="139" t="s">
        <v>1450</v>
      </c>
      <c r="C295" s="536">
        <v>3</v>
      </c>
      <c r="D295" s="139" t="s">
        <v>965</v>
      </c>
      <c r="E295" s="112">
        <f t="shared" si="20"/>
        <v>290.7</v>
      </c>
      <c r="F295" s="112"/>
      <c r="G295" s="112"/>
      <c r="H295" s="112">
        <f>SUM(I286:I293)</f>
        <v>9690</v>
      </c>
      <c r="I295" s="112">
        <f>H295*C295/100</f>
        <v>290.7</v>
      </c>
      <c r="J295" s="139"/>
      <c r="K295" s="140"/>
    </row>
    <row r="296" spans="1:14" s="134" customFormat="1" ht="15" customHeight="1">
      <c r="A296" s="146" t="s">
        <v>1467</v>
      </c>
      <c r="B296" s="147"/>
      <c r="C296" s="148"/>
      <c r="D296" s="147"/>
      <c r="E296" s="131">
        <f t="shared" si="20"/>
        <v>56106.880000000005</v>
      </c>
      <c r="F296" s="131"/>
      <c r="G296" s="131">
        <f>SUM(G281:G295)</f>
        <v>44914.18</v>
      </c>
      <c r="H296" s="131"/>
      <c r="I296" s="131">
        <f>SUM(I281:I295)</f>
        <v>9980.7000000000007</v>
      </c>
      <c r="J296" s="131"/>
      <c r="K296" s="149">
        <f>SUM(K281:K295)</f>
        <v>1212</v>
      </c>
      <c r="L296" s="214"/>
      <c r="M296" s="214"/>
      <c r="N296" s="214"/>
    </row>
    <row r="297" spans="1:14" s="134" customFormat="1" ht="15" customHeight="1">
      <c r="A297" s="539"/>
      <c r="B297" s="541"/>
      <c r="C297" s="147"/>
      <c r="D297" s="148"/>
      <c r="E297" s="131"/>
      <c r="F297" s="131"/>
      <c r="G297" s="131"/>
      <c r="H297" s="131"/>
      <c r="I297" s="131"/>
      <c r="J297" s="131"/>
      <c r="K297" s="540"/>
      <c r="L297" s="214"/>
      <c r="M297" s="214"/>
      <c r="N297" s="214"/>
    </row>
    <row r="298" spans="1:14" s="104" customFormat="1" ht="15" customHeight="1">
      <c r="A298" s="119"/>
      <c r="B298" s="542"/>
      <c r="C298" s="111"/>
      <c r="D298" s="111"/>
      <c r="E298" s="112"/>
      <c r="F298" s="111"/>
      <c r="G298" s="111"/>
      <c r="H298" s="111"/>
      <c r="I298" s="111"/>
      <c r="J298" s="111"/>
      <c r="K298" s="127"/>
      <c r="L298" s="211"/>
      <c r="M298" s="211"/>
      <c r="N298" s="211"/>
    </row>
    <row r="299" spans="1:14" s="134" customFormat="1" ht="15" customHeight="1">
      <c r="A299" s="128" t="s">
        <v>1440</v>
      </c>
      <c r="B299" s="129"/>
      <c r="C299" s="129"/>
      <c r="D299" s="130"/>
      <c r="E299" s="132">
        <f>E296+E278+E269+E263</f>
        <v>66794.62</v>
      </c>
      <c r="F299" s="132"/>
      <c r="G299" s="132">
        <f>G296+G279</f>
        <v>48773.59</v>
      </c>
      <c r="H299" s="132"/>
      <c r="I299" s="132">
        <f>I296+I279</f>
        <v>16687.03</v>
      </c>
      <c r="J299" s="132"/>
      <c r="K299" s="133">
        <f>K296+K279</f>
        <v>1334</v>
      </c>
      <c r="L299" s="214"/>
      <c r="M299" s="214"/>
      <c r="N299" s="214"/>
    </row>
  </sheetData>
  <mergeCells count="64">
    <mergeCell ref="B256:B257"/>
    <mergeCell ref="C256:C257"/>
    <mergeCell ref="F256:G256"/>
    <mergeCell ref="H256:I256"/>
    <mergeCell ref="J80:K80"/>
    <mergeCell ref="C80:C81"/>
    <mergeCell ref="D80:D81"/>
    <mergeCell ref="E80:E81"/>
    <mergeCell ref="F80:G80"/>
    <mergeCell ref="H80:I80"/>
    <mergeCell ref="A208:K208"/>
    <mergeCell ref="F210:G210"/>
    <mergeCell ref="A210:A211"/>
    <mergeCell ref="B210:B211"/>
    <mergeCell ref="C210:C211"/>
    <mergeCell ref="J256:K256"/>
    <mergeCell ref="H210:I210"/>
    <mergeCell ref="J210:K210"/>
    <mergeCell ref="A254:K254"/>
    <mergeCell ref="A256:A257"/>
    <mergeCell ref="H166:I166"/>
    <mergeCell ref="E210:E211"/>
    <mergeCell ref="D24:E24"/>
    <mergeCell ref="D22:E22"/>
    <mergeCell ref="D256:D257"/>
    <mergeCell ref="E256:E257"/>
    <mergeCell ref="D210:D211"/>
    <mergeCell ref="A121:K121"/>
    <mergeCell ref="A123:A124"/>
    <mergeCell ref="B123:B124"/>
    <mergeCell ref="D23:E23"/>
    <mergeCell ref="D17:E17"/>
    <mergeCell ref="D18:E18"/>
    <mergeCell ref="D19:E19"/>
    <mergeCell ref="D20:E20"/>
    <mergeCell ref="D21:E21"/>
    <mergeCell ref="D25:E25"/>
    <mergeCell ref="D27:E27"/>
    <mergeCell ref="A39:K39"/>
    <mergeCell ref="A41:A42"/>
    <mergeCell ref="B41:B42"/>
    <mergeCell ref="C41:C42"/>
    <mergeCell ref="D41:D42"/>
    <mergeCell ref="E41:E42"/>
    <mergeCell ref="J41:K41"/>
    <mergeCell ref="H41:I41"/>
    <mergeCell ref="F41:G41"/>
    <mergeCell ref="A164:K164"/>
    <mergeCell ref="E123:E124"/>
    <mergeCell ref="F123:G123"/>
    <mergeCell ref="H123:I123"/>
    <mergeCell ref="J123:K123"/>
    <mergeCell ref="C123:C124"/>
    <mergeCell ref="D123:D124"/>
    <mergeCell ref="A166:A167"/>
    <mergeCell ref="B166:B167"/>
    <mergeCell ref="A78:K78"/>
    <mergeCell ref="A80:A81"/>
    <mergeCell ref="B80:B81"/>
    <mergeCell ref="C166:C167"/>
    <mergeCell ref="J166:K166"/>
    <mergeCell ref="D166:D167"/>
    <mergeCell ref="E166:E167"/>
    <mergeCell ref="F166:G166"/>
  </mergeCells>
  <phoneticPr fontId="3" type="noConversion"/>
  <printOptions horizontalCentered="1"/>
  <pageMargins left="0.74803149606299213" right="0.6692913385826772" top="0.78740157480314965" bottom="0.78740157480314965" header="0.51181102362204722" footer="0.51181102362204722"/>
  <pageSetup paperSize="9" orientation="portrait" horizontalDpi="4294967295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dimension ref="A19:K179"/>
  <sheetViews>
    <sheetView topLeftCell="A7" zoomScaleSheetLayoutView="100" workbookViewId="0">
      <selection activeCell="P6" sqref="P6"/>
    </sheetView>
  </sheetViews>
  <sheetFormatPr defaultRowHeight="13.5"/>
  <cols>
    <col min="1" max="2" width="9.77734375" customWidth="1"/>
    <col min="3" max="3" width="5.77734375" customWidth="1"/>
    <col min="4" max="4" width="4.33203125" style="338" customWidth="1"/>
    <col min="5" max="10" width="6.33203125" customWidth="1"/>
    <col min="11" max="11" width="7.33203125" customWidth="1"/>
  </cols>
  <sheetData>
    <row r="19" spans="3:8" s="339" customFormat="1" ht="30" customHeight="1">
      <c r="C19" s="1554"/>
      <c r="D19" s="1554"/>
      <c r="E19" s="1554"/>
      <c r="F19" s="1554"/>
      <c r="G19" s="1554"/>
      <c r="H19" s="1554"/>
    </row>
    <row r="20" spans="3:8" s="339" customFormat="1" ht="30" customHeight="1">
      <c r="D20" s="387"/>
    </row>
    <row r="21" spans="3:8" s="339" customFormat="1" ht="30" customHeight="1">
      <c r="C21" s="388" t="s">
        <v>1260</v>
      </c>
      <c r="D21" s="1549" t="s">
        <v>1261</v>
      </c>
      <c r="E21" s="1549"/>
      <c r="F21" s="1549" t="s">
        <v>760</v>
      </c>
      <c r="G21" s="1549"/>
      <c r="H21" s="389" t="s">
        <v>1262</v>
      </c>
    </row>
    <row r="22" spans="3:8" s="339" customFormat="1" ht="30" customHeight="1">
      <c r="C22" s="390">
        <v>1</v>
      </c>
      <c r="D22" s="391">
        <v>4</v>
      </c>
      <c r="E22" s="392" t="s">
        <v>1263</v>
      </c>
      <c r="F22" s="1817">
        <f>K87</f>
        <v>27407</v>
      </c>
      <c r="G22" s="1818"/>
      <c r="H22" s="393"/>
    </row>
    <row r="23" spans="3:8" s="339" customFormat="1" ht="30" customHeight="1">
      <c r="C23" s="390">
        <v>2</v>
      </c>
      <c r="D23" s="391">
        <v>8</v>
      </c>
      <c r="E23" s="392" t="s">
        <v>1263</v>
      </c>
      <c r="F23" s="1877">
        <f>K132</f>
        <v>44391</v>
      </c>
      <c r="G23" s="1548"/>
      <c r="H23" s="393"/>
    </row>
    <row r="24" spans="3:8" s="339" customFormat="1" ht="30" customHeight="1">
      <c r="C24" s="394">
        <v>3</v>
      </c>
      <c r="D24" s="395">
        <v>12</v>
      </c>
      <c r="E24" s="396" t="s">
        <v>1263</v>
      </c>
      <c r="F24" s="1819">
        <f>K177</f>
        <v>62608</v>
      </c>
      <c r="G24" s="1545"/>
      <c r="H24" s="397"/>
    </row>
    <row r="44" spans="1:11" ht="26.1" customHeight="1">
      <c r="A44" s="1804" t="s">
        <v>662</v>
      </c>
      <c r="B44" s="1804"/>
      <c r="C44" s="1804"/>
      <c r="D44" s="1804"/>
      <c r="E44" s="1804"/>
      <c r="F44" s="1804"/>
      <c r="G44" s="1804"/>
      <c r="H44" s="1804"/>
      <c r="I44" s="1804"/>
      <c r="J44" s="1804"/>
      <c r="K44" s="1804"/>
    </row>
    <row r="45" spans="1:11" s="347" customFormat="1" ht="15" customHeight="1">
      <c r="A45" s="1802" t="s">
        <v>821</v>
      </c>
      <c r="B45" s="1796" t="s">
        <v>822</v>
      </c>
      <c r="C45" s="1796" t="s">
        <v>823</v>
      </c>
      <c r="D45" s="1796" t="s">
        <v>824</v>
      </c>
      <c r="E45" s="1796" t="s">
        <v>825</v>
      </c>
      <c r="F45" s="1796"/>
      <c r="G45" s="1796" t="s">
        <v>826</v>
      </c>
      <c r="H45" s="1796"/>
      <c r="I45" s="1796" t="s">
        <v>827</v>
      </c>
      <c r="J45" s="1796"/>
      <c r="K45" s="1799" t="s">
        <v>828</v>
      </c>
    </row>
    <row r="46" spans="1:11" s="347" customFormat="1" ht="15" customHeight="1">
      <c r="A46" s="1803"/>
      <c r="B46" s="1797"/>
      <c r="C46" s="1797"/>
      <c r="D46" s="1797"/>
      <c r="E46" s="349" t="s">
        <v>829</v>
      </c>
      <c r="F46" s="349" t="s">
        <v>830</v>
      </c>
      <c r="G46" s="349" t="s">
        <v>829</v>
      </c>
      <c r="H46" s="349" t="s">
        <v>830</v>
      </c>
      <c r="I46" s="349" t="s">
        <v>829</v>
      </c>
      <c r="J46" s="349" t="s">
        <v>830</v>
      </c>
      <c r="K46" s="1800"/>
    </row>
    <row r="47" spans="1:11" s="347" customFormat="1" ht="15" customHeight="1">
      <c r="A47" s="411" t="s">
        <v>1243</v>
      </c>
      <c r="B47" s="412"/>
      <c r="C47" s="412"/>
      <c r="D47" s="413"/>
      <c r="E47" s="412"/>
      <c r="F47" s="412"/>
      <c r="G47" s="412"/>
      <c r="H47" s="412"/>
      <c r="I47" s="412"/>
      <c r="J47" s="412"/>
      <c r="K47" s="414"/>
    </row>
    <row r="48" spans="1:11" s="347" customFormat="1" ht="15" customHeight="1">
      <c r="A48" s="348" t="s">
        <v>845</v>
      </c>
      <c r="B48" s="349" t="s">
        <v>1244</v>
      </c>
      <c r="C48" s="410">
        <v>0.02</v>
      </c>
      <c r="D48" s="349" t="s">
        <v>843</v>
      </c>
      <c r="E48" s="351">
        <f ca="1">'9.0중기목록'!F34</f>
        <v>11704</v>
      </c>
      <c r="F48" s="351">
        <f ca="1">INT(E48*C48)</f>
        <v>234</v>
      </c>
      <c r="G48" s="351">
        <f ca="1">'9.0중기목록'!E34</f>
        <v>14915</v>
      </c>
      <c r="H48" s="351">
        <f ca="1">INT(C48*G48)</f>
        <v>298</v>
      </c>
      <c r="I48" s="351">
        <f ca="1">'9.0중기목록'!G34</f>
        <v>3752</v>
      </c>
      <c r="J48" s="351">
        <f>INT(C48*I48)</f>
        <v>75</v>
      </c>
      <c r="K48" s="352"/>
    </row>
    <row r="49" spans="1:11" s="347" customFormat="1" ht="15" customHeight="1">
      <c r="A49" s="348" t="s">
        <v>1245</v>
      </c>
      <c r="B49" s="353"/>
      <c r="C49" s="350">
        <v>1.2E-2</v>
      </c>
      <c r="D49" s="349" t="s">
        <v>964</v>
      </c>
      <c r="E49" s="351"/>
      <c r="F49" s="351"/>
      <c r="G49" s="351">
        <f ca="1">'11.0시중노임'!F3</f>
        <v>79533</v>
      </c>
      <c r="H49" s="351">
        <f>INT(C49*G49)</f>
        <v>954</v>
      </c>
      <c r="I49" s="351"/>
      <c r="J49" s="351"/>
      <c r="K49" s="352"/>
    </row>
    <row r="50" spans="1:11" s="347" customFormat="1" ht="15" customHeight="1">
      <c r="A50" s="348" t="s">
        <v>839</v>
      </c>
      <c r="B50" s="349"/>
      <c r="C50" s="350">
        <v>1.2E-2</v>
      </c>
      <c r="D50" s="349" t="s">
        <v>964</v>
      </c>
      <c r="E50" s="351"/>
      <c r="F50" s="351"/>
      <c r="G50" s="351">
        <f ca="1">'11.0시중노임'!F6</f>
        <v>68965</v>
      </c>
      <c r="H50" s="351">
        <f>INT(C50*G50)</f>
        <v>827</v>
      </c>
      <c r="I50" s="351"/>
      <c r="J50" s="351"/>
      <c r="K50" s="352"/>
    </row>
    <row r="51" spans="1:11" s="347" customFormat="1" ht="15" customHeight="1">
      <c r="A51" s="354" t="s">
        <v>688</v>
      </c>
      <c r="B51" s="349" t="s">
        <v>1246</v>
      </c>
      <c r="C51" s="350" t="s">
        <v>1247</v>
      </c>
      <c r="D51" s="349"/>
      <c r="E51" s="351"/>
      <c r="F51" s="351"/>
      <c r="G51" s="351"/>
      <c r="H51" s="351"/>
      <c r="I51" s="351">
        <f>(F48+F49+F50+H48+H49+H50+J48+J49+J50)</f>
        <v>2388</v>
      </c>
      <c r="J51" s="351">
        <f>INT(I51*2.5%)</f>
        <v>59</v>
      </c>
      <c r="K51" s="352"/>
    </row>
    <row r="52" spans="1:11" s="347" customFormat="1" ht="15" customHeight="1">
      <c r="A52" s="348" t="s">
        <v>849</v>
      </c>
      <c r="B52" s="349"/>
      <c r="C52" s="350"/>
      <c r="D52" s="349"/>
      <c r="E52" s="351"/>
      <c r="F52" s="351">
        <f>SUM(F48:F51)</f>
        <v>234</v>
      </c>
      <c r="G52" s="351"/>
      <c r="H52" s="351">
        <f>SUM(H48:H51)</f>
        <v>2079</v>
      </c>
      <c r="I52" s="351"/>
      <c r="J52" s="351">
        <f>SUM(J48:J51)</f>
        <v>134</v>
      </c>
      <c r="K52" s="352">
        <f>INT(SUM(F52:J52))</f>
        <v>2447</v>
      </c>
    </row>
    <row r="53" spans="1:11" s="347" customFormat="1" ht="15" customHeight="1">
      <c r="A53" s="355" t="s">
        <v>1248</v>
      </c>
      <c r="B53" s="356"/>
      <c r="C53" s="356"/>
      <c r="D53" s="357"/>
      <c r="E53" s="358"/>
      <c r="F53" s="358"/>
      <c r="G53" s="358"/>
      <c r="H53" s="358"/>
      <c r="I53" s="358"/>
      <c r="J53" s="358"/>
      <c r="K53" s="359"/>
    </row>
    <row r="54" spans="1:11" s="347" customFormat="1" ht="15" customHeight="1">
      <c r="A54" s="348" t="s">
        <v>1249</v>
      </c>
      <c r="B54" s="349" t="s">
        <v>665</v>
      </c>
      <c r="C54" s="350">
        <v>0.23</v>
      </c>
      <c r="D54" s="349" t="s">
        <v>1014</v>
      </c>
      <c r="E54" s="351">
        <f ca="1">'8.0자재단가'!I44</f>
        <v>830</v>
      </c>
      <c r="F54" s="351">
        <f>INT(C54*E54)</f>
        <v>190</v>
      </c>
      <c r="G54" s="351"/>
      <c r="H54" s="351"/>
      <c r="I54" s="351"/>
      <c r="J54" s="351"/>
      <c r="K54" s="352"/>
    </row>
    <row r="55" spans="1:11" s="347" customFormat="1" ht="15" customHeight="1">
      <c r="A55" s="348" t="s">
        <v>1250</v>
      </c>
      <c r="B55" s="349" t="s">
        <v>1251</v>
      </c>
      <c r="C55" s="360">
        <v>0.5</v>
      </c>
      <c r="D55" s="349" t="s">
        <v>1014</v>
      </c>
      <c r="E55" s="351">
        <f ca="1">'8.0자재단가'!I45</f>
        <v>660</v>
      </c>
      <c r="F55" s="351">
        <f>INT(C55*E55)</f>
        <v>330</v>
      </c>
      <c r="G55" s="351"/>
      <c r="H55" s="351"/>
      <c r="I55" s="351"/>
      <c r="J55" s="351"/>
      <c r="K55" s="352"/>
    </row>
    <row r="56" spans="1:11" s="347" customFormat="1" ht="15" customHeight="1">
      <c r="A56" s="348" t="s">
        <v>838</v>
      </c>
      <c r="B56" s="349"/>
      <c r="C56" s="350">
        <v>6.0000000000000001E-3</v>
      </c>
      <c r="D56" s="349" t="s">
        <v>964</v>
      </c>
      <c r="E56" s="351"/>
      <c r="F56" s="351"/>
      <c r="G56" s="351">
        <f ca="1">'11.0시중노임'!F5</f>
        <v>84404</v>
      </c>
      <c r="H56" s="351">
        <f>INT(C56*G56)</f>
        <v>506</v>
      </c>
      <c r="I56" s="351"/>
      <c r="J56" s="351"/>
      <c r="K56" s="352"/>
    </row>
    <row r="57" spans="1:11" s="347" customFormat="1" ht="15" customHeight="1">
      <c r="A57" s="348" t="s">
        <v>839</v>
      </c>
      <c r="B57" s="349"/>
      <c r="C57" s="350">
        <v>6.0000000000000001E-3</v>
      </c>
      <c r="D57" s="349" t="s">
        <v>964</v>
      </c>
      <c r="E57" s="351"/>
      <c r="F57" s="351"/>
      <c r="G57" s="351">
        <f ca="1">'11.0시중노임'!F6</f>
        <v>68965</v>
      </c>
      <c r="H57" s="351">
        <f>INT(C57*G57)</f>
        <v>413</v>
      </c>
      <c r="I57" s="351"/>
      <c r="J57" s="351"/>
      <c r="K57" s="352"/>
    </row>
    <row r="58" spans="1:11" s="347" customFormat="1" ht="15" customHeight="1">
      <c r="A58" s="348" t="s">
        <v>666</v>
      </c>
      <c r="B58" s="349" t="s">
        <v>667</v>
      </c>
      <c r="C58" s="350">
        <v>3</v>
      </c>
      <c r="D58" s="349" t="s">
        <v>965</v>
      </c>
      <c r="E58" s="351">
        <f>SUM(F54:F57)</f>
        <v>520</v>
      </c>
      <c r="F58" s="351">
        <f>INT(E58*C58%)</f>
        <v>15</v>
      </c>
      <c r="G58" s="351"/>
      <c r="H58" s="351"/>
      <c r="I58" s="351"/>
      <c r="J58" s="351"/>
      <c r="K58" s="352"/>
    </row>
    <row r="59" spans="1:11" s="347" customFormat="1" ht="15" customHeight="1">
      <c r="A59" s="348" t="s">
        <v>840</v>
      </c>
      <c r="B59" s="349" t="s">
        <v>668</v>
      </c>
      <c r="C59" s="350">
        <v>2</v>
      </c>
      <c r="D59" s="349" t="s">
        <v>965</v>
      </c>
      <c r="E59" s="351"/>
      <c r="F59" s="351"/>
      <c r="G59" s="351"/>
      <c r="H59" s="351"/>
      <c r="I59" s="351">
        <f>SUM(H54:H59)</f>
        <v>919</v>
      </c>
      <c r="J59" s="351">
        <f>INT(I59*C59%)</f>
        <v>18</v>
      </c>
      <c r="K59" s="352"/>
    </row>
    <row r="60" spans="1:11" s="347" customFormat="1" ht="15" customHeight="1">
      <c r="A60" s="348" t="s">
        <v>849</v>
      </c>
      <c r="B60" s="349"/>
      <c r="C60" s="350"/>
      <c r="D60" s="349"/>
      <c r="E60" s="351"/>
      <c r="F60" s="351">
        <f>SUM(F54:F59)</f>
        <v>535</v>
      </c>
      <c r="G60" s="351"/>
      <c r="H60" s="351">
        <f>SUM(H54:H59)</f>
        <v>919</v>
      </c>
      <c r="I60" s="351"/>
      <c r="J60" s="351">
        <f>SUM(J54:J59)</f>
        <v>18</v>
      </c>
      <c r="K60" s="352">
        <f>INT(SUM(F60:J60))</f>
        <v>1472</v>
      </c>
    </row>
    <row r="61" spans="1:11" s="347" customFormat="1" ht="15" customHeight="1">
      <c r="A61" s="355" t="s">
        <v>1252</v>
      </c>
      <c r="B61" s="357"/>
      <c r="C61" s="356"/>
      <c r="D61" s="357"/>
      <c r="E61" s="358"/>
      <c r="F61" s="358"/>
      <c r="G61" s="358"/>
      <c r="H61" s="358"/>
      <c r="I61" s="358"/>
      <c r="J61" s="358"/>
      <c r="K61" s="359"/>
    </row>
    <row r="62" spans="1:11" s="347" customFormat="1" ht="15" customHeight="1">
      <c r="A62" s="348" t="s">
        <v>1253</v>
      </c>
      <c r="B62" s="349" t="s">
        <v>669</v>
      </c>
      <c r="C62" s="350">
        <v>1.2</v>
      </c>
      <c r="D62" s="349" t="s">
        <v>869</v>
      </c>
      <c r="E62" s="351">
        <f ca="1">'8.0자재단가'!I19</f>
        <v>2210</v>
      </c>
      <c r="F62" s="351">
        <f>INT(C62*E62)</f>
        <v>2652</v>
      </c>
      <c r="G62" s="351"/>
      <c r="H62" s="351"/>
      <c r="I62" s="351"/>
      <c r="J62" s="351"/>
      <c r="K62" s="352"/>
    </row>
    <row r="63" spans="1:11" s="347" customFormat="1" ht="15" customHeight="1">
      <c r="A63" s="348" t="s">
        <v>1254</v>
      </c>
      <c r="B63" s="349" t="s">
        <v>1255</v>
      </c>
      <c r="C63" s="350">
        <v>1.2</v>
      </c>
      <c r="D63" s="349" t="s">
        <v>1022</v>
      </c>
      <c r="E63" s="351">
        <f ca="1">'8.0자재단가'!I20</f>
        <v>150</v>
      </c>
      <c r="F63" s="351">
        <f>INT(C63*E63)</f>
        <v>180</v>
      </c>
      <c r="G63" s="351"/>
      <c r="H63" s="351"/>
      <c r="I63" s="351"/>
      <c r="J63" s="351"/>
      <c r="K63" s="352"/>
    </row>
    <row r="64" spans="1:11" s="347" customFormat="1" ht="15" customHeight="1">
      <c r="A64" s="348" t="s">
        <v>837</v>
      </c>
      <c r="B64" s="349"/>
      <c r="C64" s="350">
        <v>5.0000000000000001E-3</v>
      </c>
      <c r="D64" s="349" t="s">
        <v>964</v>
      </c>
      <c r="E64" s="351"/>
      <c r="F64" s="351"/>
      <c r="G64" s="351">
        <f ca="1">'11.0시중노임'!F4</f>
        <v>92218</v>
      </c>
      <c r="H64" s="351">
        <f>INT(C64*G64)</f>
        <v>461</v>
      </c>
      <c r="I64" s="351"/>
      <c r="J64" s="351"/>
      <c r="K64" s="352"/>
    </row>
    <row r="65" spans="1:11" s="347" customFormat="1" ht="15" customHeight="1">
      <c r="A65" s="348" t="s">
        <v>838</v>
      </c>
      <c r="B65" s="349"/>
      <c r="C65" s="350">
        <v>0.02</v>
      </c>
      <c r="D65" s="349" t="s">
        <v>964</v>
      </c>
      <c r="E65" s="351"/>
      <c r="F65" s="351"/>
      <c r="G65" s="351">
        <f ca="1">'11.0시중노임'!F5</f>
        <v>84404</v>
      </c>
      <c r="H65" s="351">
        <f>INT(C65*G65)</f>
        <v>1688</v>
      </c>
      <c r="I65" s="351"/>
      <c r="J65" s="351"/>
      <c r="K65" s="352"/>
    </row>
    <row r="66" spans="1:11" s="347" customFormat="1" ht="15" customHeight="1">
      <c r="A66" s="348" t="s">
        <v>839</v>
      </c>
      <c r="B66" s="349"/>
      <c r="C66" s="360">
        <v>0.02</v>
      </c>
      <c r="D66" s="349" t="s">
        <v>964</v>
      </c>
      <c r="E66" s="351"/>
      <c r="F66" s="351"/>
      <c r="G66" s="351">
        <f ca="1">'11.0시중노임'!F6</f>
        <v>68965</v>
      </c>
      <c r="H66" s="351">
        <f>INT(C66*G66)</f>
        <v>1379</v>
      </c>
      <c r="I66" s="351"/>
      <c r="J66" s="351"/>
      <c r="K66" s="352"/>
    </row>
    <row r="67" spans="1:11" s="347" customFormat="1" ht="15" customHeight="1">
      <c r="A67" s="348" t="s">
        <v>666</v>
      </c>
      <c r="B67" s="349" t="s">
        <v>667</v>
      </c>
      <c r="C67" s="350">
        <v>3</v>
      </c>
      <c r="D67" s="349" t="s">
        <v>965</v>
      </c>
      <c r="E67" s="351">
        <f>SUM(F62:F66)</f>
        <v>2832</v>
      </c>
      <c r="F67" s="351">
        <f>INT(E67*C67%)</f>
        <v>84</v>
      </c>
      <c r="G67" s="351"/>
      <c r="H67" s="351"/>
      <c r="I67" s="351"/>
      <c r="J67" s="351"/>
      <c r="K67" s="352"/>
    </row>
    <row r="68" spans="1:11" s="347" customFormat="1" ht="15" customHeight="1">
      <c r="A68" s="348" t="s">
        <v>840</v>
      </c>
      <c r="B68" s="349" t="s">
        <v>668</v>
      </c>
      <c r="C68" s="350">
        <v>2</v>
      </c>
      <c r="D68" s="349" t="s">
        <v>965</v>
      </c>
      <c r="E68" s="351"/>
      <c r="F68" s="351"/>
      <c r="G68" s="351"/>
      <c r="H68" s="351"/>
      <c r="I68" s="351">
        <f>SUM(H62:H67)</f>
        <v>3528</v>
      </c>
      <c r="J68" s="351">
        <f>INT(I68*C68%)</f>
        <v>70</v>
      </c>
      <c r="K68" s="352"/>
    </row>
    <row r="69" spans="1:11" s="347" customFormat="1" ht="15" customHeight="1">
      <c r="A69" s="348" t="s">
        <v>849</v>
      </c>
      <c r="B69" s="349"/>
      <c r="C69" s="361"/>
      <c r="D69" s="349"/>
      <c r="E69" s="351"/>
      <c r="F69" s="351">
        <f>INT(SUM(F62:F68))</f>
        <v>2916</v>
      </c>
      <c r="G69" s="351"/>
      <c r="H69" s="351">
        <f>INT(SUM(H62:H68))</f>
        <v>3528</v>
      </c>
      <c r="I69" s="351"/>
      <c r="J69" s="351">
        <f>INT(SUM(J62:J68))</f>
        <v>70</v>
      </c>
      <c r="K69" s="352">
        <f>INT(SUM(F69:J69))</f>
        <v>6514</v>
      </c>
    </row>
    <row r="70" spans="1:11" s="347" customFormat="1" ht="15" customHeight="1">
      <c r="A70" s="355" t="s">
        <v>890</v>
      </c>
      <c r="B70" s="357"/>
      <c r="C70" s="356"/>
      <c r="D70" s="357"/>
      <c r="E70" s="358"/>
      <c r="F70" s="358"/>
      <c r="G70" s="358"/>
      <c r="H70" s="358"/>
      <c r="I70" s="358"/>
      <c r="J70" s="358"/>
      <c r="K70" s="359"/>
    </row>
    <row r="71" spans="1:11" s="347" customFormat="1" ht="15" customHeight="1">
      <c r="A71" s="348" t="s">
        <v>674</v>
      </c>
      <c r="B71" s="349"/>
      <c r="C71" s="350">
        <v>0.04</v>
      </c>
      <c r="D71" s="349" t="s">
        <v>1256</v>
      </c>
      <c r="E71" s="351">
        <f ca="1">'8.0자재단가'!I65</f>
        <v>54000</v>
      </c>
      <c r="F71" s="351">
        <f>INT(C71*E71)</f>
        <v>2160</v>
      </c>
      <c r="G71" s="351"/>
      <c r="H71" s="351"/>
      <c r="I71" s="351"/>
      <c r="J71" s="351"/>
      <c r="K71" s="352"/>
    </row>
    <row r="72" spans="1:11" s="347" customFormat="1" ht="15" customHeight="1">
      <c r="A72" s="348" t="s">
        <v>673</v>
      </c>
      <c r="B72" s="349" t="s">
        <v>675</v>
      </c>
      <c r="C72" s="350">
        <f>0.06*1000</f>
        <v>60</v>
      </c>
      <c r="D72" s="349" t="s">
        <v>1647</v>
      </c>
      <c r="E72" s="351">
        <f ca="1">'8.0자재단가'!I23</f>
        <v>5</v>
      </c>
      <c r="F72" s="351">
        <f>INT(C72*E72)</f>
        <v>300</v>
      </c>
      <c r="G72" s="351"/>
      <c r="H72" s="351"/>
      <c r="I72" s="351"/>
      <c r="J72" s="351"/>
      <c r="K72" s="352"/>
    </row>
    <row r="73" spans="1:11" s="347" customFormat="1" ht="15" customHeight="1">
      <c r="A73" s="348" t="s">
        <v>676</v>
      </c>
      <c r="B73" s="349" t="s">
        <v>677</v>
      </c>
      <c r="C73" s="350">
        <v>0.128</v>
      </c>
      <c r="D73" s="349" t="s">
        <v>1223</v>
      </c>
      <c r="E73" s="351">
        <f ca="1">'8.0자재단가'!I66</f>
        <v>4000</v>
      </c>
      <c r="F73" s="351">
        <f>INT(C73*E73)</f>
        <v>512</v>
      </c>
      <c r="G73" s="351"/>
      <c r="H73" s="351"/>
      <c r="I73" s="351"/>
      <c r="J73" s="351"/>
      <c r="K73" s="352"/>
    </row>
    <row r="74" spans="1:11" s="347" customFormat="1" ht="15" customHeight="1">
      <c r="A74" s="348" t="s">
        <v>678</v>
      </c>
      <c r="B74" s="349" t="s">
        <v>679</v>
      </c>
      <c r="C74" s="350">
        <v>0.04</v>
      </c>
      <c r="D74" s="349" t="s">
        <v>843</v>
      </c>
      <c r="E74" s="351">
        <f ca="1">'9.0중기목록'!F54</f>
        <v>2272</v>
      </c>
      <c r="F74" s="351">
        <f ca="1">INT(C74*E74)</f>
        <v>90</v>
      </c>
      <c r="G74" s="351">
        <f ca="1">'9.0중기목록'!E54</f>
        <v>14915</v>
      </c>
      <c r="H74" s="351">
        <f ca="1">INT(C74*G74)</f>
        <v>596</v>
      </c>
      <c r="I74" s="351">
        <f ca="1">'9.0중기목록'!G54</f>
        <v>4060</v>
      </c>
      <c r="J74" s="351">
        <f>INT(C74*I74)</f>
        <v>162</v>
      </c>
      <c r="K74" s="352"/>
    </row>
    <row r="75" spans="1:11" s="347" customFormat="1" ht="15" customHeight="1">
      <c r="A75" s="348" t="s">
        <v>1257</v>
      </c>
      <c r="B75" s="349" t="s">
        <v>681</v>
      </c>
      <c r="C75" s="350">
        <v>0.04</v>
      </c>
      <c r="D75" s="349" t="s">
        <v>843</v>
      </c>
      <c r="E75" s="351"/>
      <c r="F75" s="351"/>
      <c r="G75" s="351"/>
      <c r="H75" s="351"/>
      <c r="I75" s="351">
        <f ca="1">'9.0중기목록'!G56</f>
        <v>15971</v>
      </c>
      <c r="J75" s="351">
        <f t="shared" ref="J75:J80" si="0">INT(C75*I75)</f>
        <v>638</v>
      </c>
      <c r="K75" s="352"/>
    </row>
    <row r="76" spans="1:11" s="347" customFormat="1" ht="15" customHeight="1">
      <c r="A76" s="348" t="s">
        <v>835</v>
      </c>
      <c r="B76" s="349" t="s">
        <v>682</v>
      </c>
      <c r="C76" s="350">
        <v>0.04</v>
      </c>
      <c r="D76" s="349" t="s">
        <v>843</v>
      </c>
      <c r="E76" s="351">
        <f ca="1">'9.0중기목록'!F8</f>
        <v>29577</v>
      </c>
      <c r="F76" s="351">
        <f ca="1">INT(C76*E76)</f>
        <v>1183</v>
      </c>
      <c r="G76" s="351">
        <f ca="1">'9.0중기목록'!E8</f>
        <v>20561</v>
      </c>
      <c r="H76" s="351">
        <f t="shared" ref="H76:H85" si="1">INT(C76*G76)</f>
        <v>822</v>
      </c>
      <c r="I76" s="351">
        <f ca="1">'9.0중기목록'!G8</f>
        <v>4656</v>
      </c>
      <c r="J76" s="351">
        <f t="shared" si="0"/>
        <v>186</v>
      </c>
      <c r="K76" s="352"/>
    </row>
    <row r="77" spans="1:11" s="347" customFormat="1" ht="15" customHeight="1">
      <c r="A77" s="348" t="s">
        <v>845</v>
      </c>
      <c r="B77" s="349" t="s">
        <v>1244</v>
      </c>
      <c r="C77" s="350">
        <v>0.04</v>
      </c>
      <c r="D77" s="349" t="s">
        <v>843</v>
      </c>
      <c r="E77" s="351">
        <f ca="1">'9.0중기목록'!F34</f>
        <v>11704</v>
      </c>
      <c r="F77" s="351">
        <f ca="1">INT(C77*E77)</f>
        <v>468</v>
      </c>
      <c r="G77" s="351">
        <f ca="1">'9.0중기목록'!F34</f>
        <v>11704</v>
      </c>
      <c r="H77" s="351">
        <f t="shared" si="1"/>
        <v>468</v>
      </c>
      <c r="I77" s="351">
        <f ca="1">'9.0중기목록'!G34</f>
        <v>3752</v>
      </c>
      <c r="J77" s="351">
        <f t="shared" si="0"/>
        <v>150</v>
      </c>
      <c r="K77" s="352"/>
    </row>
    <row r="78" spans="1:11" s="347" customFormat="1" ht="15" customHeight="1">
      <c r="A78" s="348" t="s">
        <v>1258</v>
      </c>
      <c r="B78" s="349" t="s">
        <v>1646</v>
      </c>
      <c r="C78" s="350">
        <v>0.04</v>
      </c>
      <c r="D78" s="349" t="s">
        <v>843</v>
      </c>
      <c r="E78" s="351">
        <f ca="1">'9.0중기목록'!F58</f>
        <v>4036</v>
      </c>
      <c r="F78" s="351">
        <f ca="1">INT(C78*E78)</f>
        <v>161</v>
      </c>
      <c r="G78" s="351">
        <f ca="1">'9.0중기목록'!E58</f>
        <v>17696</v>
      </c>
      <c r="H78" s="351">
        <f t="shared" si="1"/>
        <v>707</v>
      </c>
      <c r="I78" s="351">
        <f ca="1">'9.0중기목록'!G58</f>
        <v>8036</v>
      </c>
      <c r="J78" s="351">
        <f t="shared" si="0"/>
        <v>321</v>
      </c>
      <c r="K78" s="352"/>
    </row>
    <row r="79" spans="1:11" s="347" customFormat="1" ht="15" customHeight="1">
      <c r="A79" s="348" t="s">
        <v>846</v>
      </c>
      <c r="B79" s="349" t="s">
        <v>847</v>
      </c>
      <c r="C79" s="350">
        <v>0.04</v>
      </c>
      <c r="D79" s="349" t="s">
        <v>843</v>
      </c>
      <c r="E79" s="351">
        <f ca="1">'9.0중기목록'!F14</f>
        <v>13117</v>
      </c>
      <c r="F79" s="351">
        <f ca="1">INT(C79*E79)</f>
        <v>524</v>
      </c>
      <c r="G79" s="351">
        <f ca="1">'9.0중기목록'!E14</f>
        <v>17696</v>
      </c>
      <c r="H79" s="351">
        <f t="shared" si="1"/>
        <v>707</v>
      </c>
      <c r="I79" s="351">
        <f ca="1">'9.0중기목록'!G14</f>
        <v>7823</v>
      </c>
      <c r="J79" s="351">
        <f t="shared" si="0"/>
        <v>312</v>
      </c>
      <c r="K79" s="352"/>
    </row>
    <row r="80" spans="1:11" s="347" customFormat="1" ht="15" customHeight="1">
      <c r="A80" s="348" t="s">
        <v>683</v>
      </c>
      <c r="B80" s="349" t="s">
        <v>684</v>
      </c>
      <c r="C80" s="350">
        <v>0.04</v>
      </c>
      <c r="D80" s="349" t="s">
        <v>843</v>
      </c>
      <c r="E80" s="351"/>
      <c r="F80" s="351"/>
      <c r="G80" s="351"/>
      <c r="H80" s="351"/>
      <c r="I80" s="351">
        <f ca="1">'9.0중기목록'!G60</f>
        <v>21808</v>
      </c>
      <c r="J80" s="351">
        <f t="shared" si="0"/>
        <v>872</v>
      </c>
      <c r="K80" s="352"/>
    </row>
    <row r="81" spans="1:11" s="347" customFormat="1" ht="15" customHeight="1">
      <c r="A81" s="348" t="s">
        <v>685</v>
      </c>
      <c r="B81" s="349" t="s">
        <v>686</v>
      </c>
      <c r="C81" s="350">
        <v>0.04</v>
      </c>
      <c r="D81" s="349" t="s">
        <v>843</v>
      </c>
      <c r="E81" s="351"/>
      <c r="F81" s="351"/>
      <c r="G81" s="351"/>
      <c r="H81" s="351"/>
      <c r="I81" s="351">
        <f ca="1">'9.0중기목록'!G40</f>
        <v>7417</v>
      </c>
      <c r="J81" s="351">
        <f>INT(C81*I81)</f>
        <v>296</v>
      </c>
      <c r="K81" s="352"/>
    </row>
    <row r="82" spans="1:11" s="347" customFormat="1" ht="15" customHeight="1">
      <c r="A82" s="348" t="s">
        <v>837</v>
      </c>
      <c r="B82" s="349"/>
      <c r="C82" s="350">
        <v>5.0000000000000001E-3</v>
      </c>
      <c r="D82" s="349" t="s">
        <v>964</v>
      </c>
      <c r="E82" s="350"/>
      <c r="F82" s="351"/>
      <c r="G82" s="351">
        <f ca="1">'11.0시중노임'!F4</f>
        <v>92218</v>
      </c>
      <c r="H82" s="351">
        <f t="shared" si="1"/>
        <v>461</v>
      </c>
      <c r="I82" s="351"/>
      <c r="J82" s="351"/>
      <c r="K82" s="352"/>
    </row>
    <row r="83" spans="1:11" s="347" customFormat="1" ht="15" customHeight="1">
      <c r="A83" s="348" t="s">
        <v>838</v>
      </c>
      <c r="B83" s="349"/>
      <c r="C83" s="350">
        <v>0.02</v>
      </c>
      <c r="D83" s="349" t="s">
        <v>964</v>
      </c>
      <c r="E83" s="350"/>
      <c r="F83" s="351"/>
      <c r="G83" s="351">
        <f ca="1">'11.0시중노임'!F5</f>
        <v>84404</v>
      </c>
      <c r="H83" s="351">
        <f t="shared" si="1"/>
        <v>1688</v>
      </c>
      <c r="I83" s="351"/>
      <c r="J83" s="351"/>
      <c r="K83" s="352"/>
    </row>
    <row r="84" spans="1:11" s="347" customFormat="1" ht="15" customHeight="1">
      <c r="A84" s="348" t="s">
        <v>848</v>
      </c>
      <c r="B84" s="349"/>
      <c r="C84" s="350">
        <v>5.0000000000000001E-3</v>
      </c>
      <c r="D84" s="349" t="s">
        <v>964</v>
      </c>
      <c r="E84" s="350"/>
      <c r="F84" s="351"/>
      <c r="G84" s="351">
        <f ca="1">'11.0시중노임'!F12</f>
        <v>86521</v>
      </c>
      <c r="H84" s="351">
        <f t="shared" si="1"/>
        <v>432</v>
      </c>
      <c r="I84" s="351"/>
      <c r="J84" s="351"/>
      <c r="K84" s="352"/>
    </row>
    <row r="85" spans="1:11" s="347" customFormat="1" ht="15" customHeight="1">
      <c r="A85" s="348" t="s">
        <v>839</v>
      </c>
      <c r="B85" s="349"/>
      <c r="C85" s="350">
        <v>0.04</v>
      </c>
      <c r="D85" s="349" t="s">
        <v>964</v>
      </c>
      <c r="E85" s="350"/>
      <c r="F85" s="351"/>
      <c r="G85" s="351">
        <f ca="1">'11.0시중노임'!F6</f>
        <v>68965</v>
      </c>
      <c r="H85" s="351">
        <f t="shared" si="1"/>
        <v>2758</v>
      </c>
      <c r="I85" s="351"/>
      <c r="J85" s="351"/>
      <c r="K85" s="352"/>
    </row>
    <row r="86" spans="1:11" s="347" customFormat="1" ht="15" customHeight="1">
      <c r="A86" s="348" t="s">
        <v>849</v>
      </c>
      <c r="B86" s="349"/>
      <c r="C86" s="350"/>
      <c r="D86" s="349"/>
      <c r="E86" s="350"/>
      <c r="F86" s="351">
        <f>INT(SUM(F71:F85))</f>
        <v>5398</v>
      </c>
      <c r="G86" s="351"/>
      <c r="H86" s="351">
        <f>INT(SUM(H71:H85))</f>
        <v>8639</v>
      </c>
      <c r="I86" s="351"/>
      <c r="J86" s="351">
        <f>INT(SUM(J71:J85))</f>
        <v>2937</v>
      </c>
      <c r="K86" s="352">
        <f>INT(SUM(F86:J86))</f>
        <v>16974</v>
      </c>
    </row>
    <row r="87" spans="1:11" s="347" customFormat="1" ht="15" customHeight="1">
      <c r="A87" s="363" t="s">
        <v>886</v>
      </c>
      <c r="B87" s="364"/>
      <c r="C87" s="364"/>
      <c r="D87" s="365"/>
      <c r="E87" s="364"/>
      <c r="F87" s="366">
        <f>F86+F69+F60+F52</f>
        <v>9083</v>
      </c>
      <c r="G87" s="366"/>
      <c r="H87" s="366">
        <f>H86+H69+H60+H52</f>
        <v>15165</v>
      </c>
      <c r="I87" s="366"/>
      <c r="J87" s="366">
        <f>J86+J69+J60+J52</f>
        <v>3159</v>
      </c>
      <c r="K87" s="367">
        <f>K86+K69+K60+K52</f>
        <v>27407</v>
      </c>
    </row>
    <row r="88" spans="1:11" s="347" customFormat="1" ht="15" customHeight="1">
      <c r="A88" s="342"/>
      <c r="B88" s="342"/>
      <c r="C88" s="342"/>
      <c r="D88" s="368"/>
      <c r="E88" s="342"/>
      <c r="F88" s="342"/>
      <c r="G88" s="1798" t="s">
        <v>687</v>
      </c>
      <c r="H88" s="1798"/>
      <c r="I88" s="1798"/>
      <c r="J88" s="1798"/>
      <c r="K88" s="1798"/>
    </row>
    <row r="89" spans="1:11" ht="26.1" customHeight="1">
      <c r="A89" s="1804" t="s">
        <v>663</v>
      </c>
      <c r="B89" s="1804"/>
      <c r="C89" s="1804"/>
      <c r="D89" s="1804"/>
      <c r="E89" s="1804"/>
      <c r="F89" s="1804"/>
      <c r="G89" s="1804"/>
      <c r="H89" s="1804"/>
      <c r="I89" s="1804"/>
      <c r="J89" s="1804"/>
      <c r="K89" s="1804"/>
    </row>
    <row r="90" spans="1:11" s="347" customFormat="1" ht="15" customHeight="1">
      <c r="A90" s="1802" t="s">
        <v>821</v>
      </c>
      <c r="B90" s="1796" t="s">
        <v>822</v>
      </c>
      <c r="C90" s="1796" t="s">
        <v>823</v>
      </c>
      <c r="D90" s="1796" t="s">
        <v>824</v>
      </c>
      <c r="E90" s="1796" t="s">
        <v>825</v>
      </c>
      <c r="F90" s="1796"/>
      <c r="G90" s="1796" t="s">
        <v>826</v>
      </c>
      <c r="H90" s="1796"/>
      <c r="I90" s="1796" t="s">
        <v>827</v>
      </c>
      <c r="J90" s="1796"/>
      <c r="K90" s="1799" t="s">
        <v>828</v>
      </c>
    </row>
    <row r="91" spans="1:11" s="347" customFormat="1" ht="15" customHeight="1">
      <c r="A91" s="1803"/>
      <c r="B91" s="1797"/>
      <c r="C91" s="1797"/>
      <c r="D91" s="1797"/>
      <c r="E91" s="349" t="s">
        <v>829</v>
      </c>
      <c r="F91" s="349" t="s">
        <v>830</v>
      </c>
      <c r="G91" s="349" t="s">
        <v>829</v>
      </c>
      <c r="H91" s="349" t="s">
        <v>830</v>
      </c>
      <c r="I91" s="349" t="s">
        <v>829</v>
      </c>
      <c r="J91" s="349" t="s">
        <v>830</v>
      </c>
      <c r="K91" s="1800"/>
    </row>
    <row r="92" spans="1:11" s="347" customFormat="1" ht="15" customHeight="1">
      <c r="A92" s="411" t="s">
        <v>1243</v>
      </c>
      <c r="B92" s="412"/>
      <c r="C92" s="412"/>
      <c r="D92" s="413"/>
      <c r="E92" s="412"/>
      <c r="F92" s="412"/>
      <c r="G92" s="412"/>
      <c r="H92" s="412"/>
      <c r="I92" s="412"/>
      <c r="J92" s="412"/>
      <c r="K92" s="414"/>
    </row>
    <row r="93" spans="1:11" s="347" customFormat="1" ht="15" customHeight="1">
      <c r="A93" s="348" t="s">
        <v>845</v>
      </c>
      <c r="B93" s="349" t="s">
        <v>1244</v>
      </c>
      <c r="C93" s="410">
        <v>0.02</v>
      </c>
      <c r="D93" s="349" t="s">
        <v>843</v>
      </c>
      <c r="E93" s="351">
        <f>E48</f>
        <v>11704</v>
      </c>
      <c r="F93" s="351">
        <f>INT(E93*C93)</f>
        <v>234</v>
      </c>
      <c r="G93" s="351">
        <f>G48</f>
        <v>14915</v>
      </c>
      <c r="H93" s="351">
        <f>INT(C93*G93)</f>
        <v>298</v>
      </c>
      <c r="I93" s="351">
        <f>I48</f>
        <v>3752</v>
      </c>
      <c r="J93" s="351">
        <f>INT(C93*I93)</f>
        <v>75</v>
      </c>
      <c r="K93" s="352"/>
    </row>
    <row r="94" spans="1:11" s="347" customFormat="1" ht="15" customHeight="1">
      <c r="A94" s="348" t="s">
        <v>1245</v>
      </c>
      <c r="B94" s="353"/>
      <c r="C94" s="350">
        <v>1.2E-2</v>
      </c>
      <c r="D94" s="349" t="s">
        <v>964</v>
      </c>
      <c r="E94" s="351"/>
      <c r="F94" s="351"/>
      <c r="G94" s="351">
        <f ca="1">'11.0시중노임'!F3</f>
        <v>79533</v>
      </c>
      <c r="H94" s="351">
        <f>INT(C94*G94)</f>
        <v>954</v>
      </c>
      <c r="I94" s="351"/>
      <c r="J94" s="351"/>
      <c r="K94" s="352"/>
    </row>
    <row r="95" spans="1:11" s="347" customFormat="1" ht="15" customHeight="1">
      <c r="A95" s="348" t="s">
        <v>839</v>
      </c>
      <c r="B95" s="349"/>
      <c r="C95" s="350">
        <v>1.2E-2</v>
      </c>
      <c r="D95" s="349" t="s">
        <v>964</v>
      </c>
      <c r="E95" s="351"/>
      <c r="F95" s="351"/>
      <c r="G95" s="351">
        <f ca="1">'11.0시중노임'!F6</f>
        <v>68965</v>
      </c>
      <c r="H95" s="351">
        <f>INT(C95*G95)</f>
        <v>827</v>
      </c>
      <c r="I95" s="351"/>
      <c r="J95" s="351"/>
      <c r="K95" s="352"/>
    </row>
    <row r="96" spans="1:11" s="347" customFormat="1" ht="15" customHeight="1">
      <c r="A96" s="354" t="s">
        <v>688</v>
      </c>
      <c r="B96" s="349" t="s">
        <v>1246</v>
      </c>
      <c r="C96" s="350" t="s">
        <v>1247</v>
      </c>
      <c r="D96" s="349"/>
      <c r="E96" s="351"/>
      <c r="F96" s="351"/>
      <c r="G96" s="351"/>
      <c r="H96" s="351"/>
      <c r="I96" s="351">
        <f>(F93+F94+F95+H93+H94+H95+J93+J94+J95)</f>
        <v>2388</v>
      </c>
      <c r="J96" s="351">
        <f>INT(I96*2.5%)</f>
        <v>59</v>
      </c>
      <c r="K96" s="352"/>
    </row>
    <row r="97" spans="1:11" s="347" customFormat="1" ht="15" customHeight="1">
      <c r="A97" s="348" t="s">
        <v>849</v>
      </c>
      <c r="B97" s="349"/>
      <c r="C97" s="350"/>
      <c r="D97" s="349"/>
      <c r="E97" s="351"/>
      <c r="F97" s="351">
        <f>SUM(F93:F96)</f>
        <v>234</v>
      </c>
      <c r="G97" s="351"/>
      <c r="H97" s="351">
        <f>SUM(H93:H96)</f>
        <v>2079</v>
      </c>
      <c r="I97" s="351"/>
      <c r="J97" s="351">
        <f>SUM(J93:J96)</f>
        <v>134</v>
      </c>
      <c r="K97" s="352">
        <f>INT(SUM(F97:J97))</f>
        <v>2447</v>
      </c>
    </row>
    <row r="98" spans="1:11" s="347" customFormat="1" ht="15" customHeight="1">
      <c r="A98" s="355" t="s">
        <v>1248</v>
      </c>
      <c r="B98" s="356"/>
      <c r="C98" s="356"/>
      <c r="D98" s="357"/>
      <c r="E98" s="358"/>
      <c r="F98" s="358"/>
      <c r="G98" s="358"/>
      <c r="H98" s="358"/>
      <c r="I98" s="358"/>
      <c r="J98" s="358"/>
      <c r="K98" s="359"/>
    </row>
    <row r="99" spans="1:11" s="347" customFormat="1" ht="15" customHeight="1">
      <c r="A99" s="348" t="s">
        <v>1249</v>
      </c>
      <c r="B99" s="349" t="s">
        <v>665</v>
      </c>
      <c r="C99" s="350">
        <v>0.23</v>
      </c>
      <c r="D99" s="349" t="s">
        <v>1014</v>
      </c>
      <c r="E99" s="351">
        <f>E54</f>
        <v>830</v>
      </c>
      <c r="F99" s="351">
        <f>INT(C99*E99)</f>
        <v>190</v>
      </c>
      <c r="G99" s="351"/>
      <c r="H99" s="351"/>
      <c r="I99" s="351"/>
      <c r="J99" s="351"/>
      <c r="K99" s="352"/>
    </row>
    <row r="100" spans="1:11" s="347" customFormat="1" ht="15" customHeight="1">
      <c r="A100" s="348" t="s">
        <v>1250</v>
      </c>
      <c r="B100" s="349" t="s">
        <v>1251</v>
      </c>
      <c r="C100" s="360">
        <v>0.5</v>
      </c>
      <c r="D100" s="349" t="s">
        <v>1014</v>
      </c>
      <c r="E100" s="351">
        <f>E55</f>
        <v>660</v>
      </c>
      <c r="F100" s="351">
        <f>INT(C100*E100)</f>
        <v>330</v>
      </c>
      <c r="G100" s="351"/>
      <c r="H100" s="351"/>
      <c r="I100" s="351"/>
      <c r="J100" s="351"/>
      <c r="K100" s="352"/>
    </row>
    <row r="101" spans="1:11" s="347" customFormat="1" ht="15" customHeight="1">
      <c r="A101" s="348" t="s">
        <v>838</v>
      </c>
      <c r="B101" s="349"/>
      <c r="C101" s="350">
        <v>6.0000000000000001E-3</v>
      </c>
      <c r="D101" s="349" t="s">
        <v>964</v>
      </c>
      <c r="E101" s="351"/>
      <c r="F101" s="351"/>
      <c r="G101" s="351">
        <f ca="1">'11.0시중노임'!F5</f>
        <v>84404</v>
      </c>
      <c r="H101" s="351">
        <f>INT(C101*G101)</f>
        <v>506</v>
      </c>
      <c r="I101" s="351"/>
      <c r="J101" s="351"/>
      <c r="K101" s="352"/>
    </row>
    <row r="102" spans="1:11" s="347" customFormat="1" ht="15" customHeight="1">
      <c r="A102" s="348" t="s">
        <v>839</v>
      </c>
      <c r="B102" s="349"/>
      <c r="C102" s="350">
        <v>6.0000000000000001E-3</v>
      </c>
      <c r="D102" s="349" t="s">
        <v>964</v>
      </c>
      <c r="E102" s="351"/>
      <c r="F102" s="351"/>
      <c r="G102" s="351">
        <f ca="1">'11.0시중노임'!F6</f>
        <v>68965</v>
      </c>
      <c r="H102" s="351">
        <f>INT(C102*G102)</f>
        <v>413</v>
      </c>
      <c r="I102" s="351"/>
      <c r="J102" s="351"/>
      <c r="K102" s="352"/>
    </row>
    <row r="103" spans="1:11" s="347" customFormat="1" ht="15" customHeight="1">
      <c r="A103" s="348" t="s">
        <v>666</v>
      </c>
      <c r="B103" s="349" t="s">
        <v>667</v>
      </c>
      <c r="C103" s="350">
        <v>3</v>
      </c>
      <c r="D103" s="349" t="s">
        <v>965</v>
      </c>
      <c r="E103" s="351">
        <f>SUM(F99:F102)</f>
        <v>520</v>
      </c>
      <c r="F103" s="351">
        <f>INT(E103*C103%)</f>
        <v>15</v>
      </c>
      <c r="G103" s="351"/>
      <c r="H103" s="351"/>
      <c r="I103" s="351"/>
      <c r="J103" s="351"/>
      <c r="K103" s="352"/>
    </row>
    <row r="104" spans="1:11" s="347" customFormat="1" ht="15" customHeight="1">
      <c r="A104" s="348" t="s">
        <v>840</v>
      </c>
      <c r="B104" s="349" t="s">
        <v>668</v>
      </c>
      <c r="C104" s="350">
        <v>2</v>
      </c>
      <c r="D104" s="349" t="s">
        <v>965</v>
      </c>
      <c r="E104" s="351"/>
      <c r="F104" s="351"/>
      <c r="G104" s="351"/>
      <c r="H104" s="351"/>
      <c r="I104" s="351">
        <f>SUM(H99:H104)</f>
        <v>919</v>
      </c>
      <c r="J104" s="351">
        <f>INT(I104*C104%)</f>
        <v>18</v>
      </c>
      <c r="K104" s="352"/>
    </row>
    <row r="105" spans="1:11" s="347" customFormat="1" ht="15" customHeight="1">
      <c r="A105" s="348" t="s">
        <v>849</v>
      </c>
      <c r="B105" s="349"/>
      <c r="C105" s="350"/>
      <c r="D105" s="349"/>
      <c r="E105" s="351"/>
      <c r="F105" s="351">
        <f>SUM(F99:F104)</f>
        <v>535</v>
      </c>
      <c r="G105" s="351"/>
      <c r="H105" s="351">
        <f>SUM(H99:H104)</f>
        <v>919</v>
      </c>
      <c r="I105" s="351"/>
      <c r="J105" s="351">
        <f>SUM(J99:J104)</f>
        <v>18</v>
      </c>
      <c r="K105" s="352">
        <f>INT(SUM(F105:J105))</f>
        <v>1472</v>
      </c>
    </row>
    <row r="106" spans="1:11" s="347" customFormat="1" ht="15" customHeight="1">
      <c r="A106" s="355" t="s">
        <v>1252</v>
      </c>
      <c r="B106" s="357"/>
      <c r="C106" s="356"/>
      <c r="D106" s="357"/>
      <c r="E106" s="358"/>
      <c r="F106" s="358"/>
      <c r="G106" s="358"/>
      <c r="H106" s="358"/>
      <c r="I106" s="358"/>
      <c r="J106" s="358"/>
      <c r="K106" s="359"/>
    </row>
    <row r="107" spans="1:11" s="347" customFormat="1" ht="15" customHeight="1">
      <c r="A107" s="348" t="s">
        <v>1253</v>
      </c>
      <c r="B107" s="349" t="s">
        <v>669</v>
      </c>
      <c r="C107" s="350">
        <v>1.2</v>
      </c>
      <c r="D107" s="349" t="s">
        <v>869</v>
      </c>
      <c r="E107" s="351">
        <f>E62</f>
        <v>2210</v>
      </c>
      <c r="F107" s="351">
        <f>INT(C107*E107)</f>
        <v>2652</v>
      </c>
      <c r="G107" s="351"/>
      <c r="H107" s="351"/>
      <c r="I107" s="351"/>
      <c r="J107" s="351"/>
      <c r="K107" s="352"/>
    </row>
    <row r="108" spans="1:11" s="347" customFormat="1" ht="15" customHeight="1">
      <c r="A108" s="348" t="s">
        <v>1254</v>
      </c>
      <c r="B108" s="349" t="s">
        <v>1255</v>
      </c>
      <c r="C108" s="350">
        <v>1.2</v>
      </c>
      <c r="D108" s="349" t="s">
        <v>1022</v>
      </c>
      <c r="E108" s="351">
        <f>E63</f>
        <v>150</v>
      </c>
      <c r="F108" s="351">
        <f>INT(C108*E108)</f>
        <v>180</v>
      </c>
      <c r="G108" s="351"/>
      <c r="H108" s="351"/>
      <c r="I108" s="351"/>
      <c r="J108" s="351"/>
      <c r="K108" s="352"/>
    </row>
    <row r="109" spans="1:11" s="347" customFormat="1" ht="15" customHeight="1">
      <c r="A109" s="348" t="s">
        <v>837</v>
      </c>
      <c r="B109" s="349"/>
      <c r="C109" s="350">
        <v>5.0000000000000001E-3</v>
      </c>
      <c r="D109" s="349" t="s">
        <v>964</v>
      </c>
      <c r="E109" s="351"/>
      <c r="F109" s="351"/>
      <c r="G109" s="351">
        <f ca="1">'11.0시중노임'!F4</f>
        <v>92218</v>
      </c>
      <c r="H109" s="351">
        <f>INT(C109*G109)</f>
        <v>461</v>
      </c>
      <c r="I109" s="351"/>
      <c r="J109" s="351"/>
      <c r="K109" s="352"/>
    </row>
    <row r="110" spans="1:11" s="347" customFormat="1" ht="15" customHeight="1">
      <c r="A110" s="348" t="s">
        <v>838</v>
      </c>
      <c r="B110" s="349"/>
      <c r="C110" s="350">
        <v>0.02</v>
      </c>
      <c r="D110" s="349" t="s">
        <v>964</v>
      </c>
      <c r="E110" s="351"/>
      <c r="F110" s="351"/>
      <c r="G110" s="351">
        <f ca="1">'11.0시중노임'!F5</f>
        <v>84404</v>
      </c>
      <c r="H110" s="351">
        <f>INT(C110*G110)</f>
        <v>1688</v>
      </c>
      <c r="I110" s="351"/>
      <c r="J110" s="351"/>
      <c r="K110" s="352"/>
    </row>
    <row r="111" spans="1:11" s="347" customFormat="1" ht="15" customHeight="1">
      <c r="A111" s="348" t="s">
        <v>839</v>
      </c>
      <c r="B111" s="349"/>
      <c r="C111" s="360">
        <v>0.02</v>
      </c>
      <c r="D111" s="349" t="s">
        <v>964</v>
      </c>
      <c r="E111" s="351"/>
      <c r="F111" s="351"/>
      <c r="G111" s="351">
        <f ca="1">'11.0시중노임'!F6</f>
        <v>68965</v>
      </c>
      <c r="H111" s="351">
        <f>INT(C111*G111)</f>
        <v>1379</v>
      </c>
      <c r="I111" s="351"/>
      <c r="J111" s="351"/>
      <c r="K111" s="352"/>
    </row>
    <row r="112" spans="1:11" s="347" customFormat="1" ht="15" customHeight="1">
      <c r="A112" s="348" t="s">
        <v>666</v>
      </c>
      <c r="B112" s="349" t="s">
        <v>667</v>
      </c>
      <c r="C112" s="350">
        <v>3</v>
      </c>
      <c r="D112" s="349" t="s">
        <v>965</v>
      </c>
      <c r="E112" s="351">
        <f>SUM(F107:F111)</f>
        <v>2832</v>
      </c>
      <c r="F112" s="351">
        <f>INT(E112*C112%)</f>
        <v>84</v>
      </c>
      <c r="G112" s="351"/>
      <c r="H112" s="351"/>
      <c r="I112" s="351"/>
      <c r="J112" s="351"/>
      <c r="K112" s="352"/>
    </row>
    <row r="113" spans="1:11" s="347" customFormat="1" ht="15" customHeight="1">
      <c r="A113" s="348" t="s">
        <v>840</v>
      </c>
      <c r="B113" s="349" t="s">
        <v>668</v>
      </c>
      <c r="C113" s="350">
        <v>2</v>
      </c>
      <c r="D113" s="349" t="s">
        <v>965</v>
      </c>
      <c r="E113" s="351"/>
      <c r="F113" s="351"/>
      <c r="G113" s="351"/>
      <c r="H113" s="351"/>
      <c r="I113" s="351">
        <f>SUM(H107:H112)</f>
        <v>3528</v>
      </c>
      <c r="J113" s="351">
        <f>INT(I113*C113%)</f>
        <v>70</v>
      </c>
      <c r="K113" s="352"/>
    </row>
    <row r="114" spans="1:11" s="347" customFormat="1" ht="15" customHeight="1">
      <c r="A114" s="348" t="s">
        <v>849</v>
      </c>
      <c r="B114" s="349"/>
      <c r="C114" s="361"/>
      <c r="D114" s="349"/>
      <c r="E114" s="351"/>
      <c r="F114" s="351">
        <f>INT(SUM(F107:F113))</f>
        <v>2916</v>
      </c>
      <c r="G114" s="351"/>
      <c r="H114" s="351">
        <f>INT(SUM(H107:H113))</f>
        <v>3528</v>
      </c>
      <c r="I114" s="351"/>
      <c r="J114" s="351">
        <f>INT(SUM(J107:J113))</f>
        <v>70</v>
      </c>
      <c r="K114" s="352">
        <f>INT(SUM(F114:J114))</f>
        <v>6514</v>
      </c>
    </row>
    <row r="115" spans="1:11" s="347" customFormat="1" ht="15" customHeight="1">
      <c r="A115" s="355" t="s">
        <v>890</v>
      </c>
      <c r="B115" s="357"/>
      <c r="C115" s="356"/>
      <c r="D115" s="357"/>
      <c r="E115" s="358"/>
      <c r="F115" s="358"/>
      <c r="G115" s="358"/>
      <c r="H115" s="358"/>
      <c r="I115" s="358"/>
      <c r="J115" s="358"/>
      <c r="K115" s="359"/>
    </row>
    <row r="116" spans="1:11" s="347" customFormat="1" ht="15" customHeight="1">
      <c r="A116" s="348" t="s">
        <v>674</v>
      </c>
      <c r="B116" s="349"/>
      <c r="C116" s="350">
        <v>0.08</v>
      </c>
      <c r="D116" s="349" t="s">
        <v>1256</v>
      </c>
      <c r="E116" s="351">
        <f>E71</f>
        <v>54000</v>
      </c>
      <c r="F116" s="351">
        <f>INT(C116*E116)</f>
        <v>4320</v>
      </c>
      <c r="G116" s="351"/>
      <c r="H116" s="351"/>
      <c r="I116" s="351"/>
      <c r="J116" s="351"/>
      <c r="K116" s="352"/>
    </row>
    <row r="117" spans="1:11" s="347" customFormat="1" ht="15" customHeight="1">
      <c r="A117" s="348" t="s">
        <v>673</v>
      </c>
      <c r="B117" s="349" t="s">
        <v>675</v>
      </c>
      <c r="C117" s="350">
        <f>0.12*1000</f>
        <v>120</v>
      </c>
      <c r="D117" s="349" t="s">
        <v>1648</v>
      </c>
      <c r="E117" s="351">
        <f>E72</f>
        <v>5</v>
      </c>
      <c r="F117" s="351">
        <f>INT(C117*E117)</f>
        <v>600</v>
      </c>
      <c r="G117" s="351"/>
      <c r="H117" s="351"/>
      <c r="I117" s="351"/>
      <c r="J117" s="351"/>
      <c r="K117" s="352"/>
    </row>
    <row r="118" spans="1:11" s="347" customFormat="1" ht="15" customHeight="1">
      <c r="A118" s="348" t="s">
        <v>676</v>
      </c>
      <c r="B118" s="349" t="s">
        <v>677</v>
      </c>
      <c r="C118" s="350">
        <v>0.25600000000000001</v>
      </c>
      <c r="D118" s="349" t="s">
        <v>1223</v>
      </c>
      <c r="E118" s="351">
        <f>E73</f>
        <v>4000</v>
      </c>
      <c r="F118" s="351">
        <f>INT(C118*E118)</f>
        <v>1024</v>
      </c>
      <c r="G118" s="351"/>
      <c r="H118" s="351"/>
      <c r="I118" s="351"/>
      <c r="J118" s="351"/>
      <c r="K118" s="352"/>
    </row>
    <row r="119" spans="1:11" s="347" customFormat="1" ht="15" customHeight="1">
      <c r="A119" s="348" t="s">
        <v>678</v>
      </c>
      <c r="B119" s="349" t="s">
        <v>679</v>
      </c>
      <c r="C119" s="350">
        <v>0.08</v>
      </c>
      <c r="D119" s="349" t="s">
        <v>843</v>
      </c>
      <c r="E119" s="351">
        <f>E74</f>
        <v>2272</v>
      </c>
      <c r="F119" s="351">
        <f>INT(C119*E119)</f>
        <v>181</v>
      </c>
      <c r="G119" s="351">
        <f>G74</f>
        <v>14915</v>
      </c>
      <c r="H119" s="351">
        <f>INT(C119*G119)</f>
        <v>1193</v>
      </c>
      <c r="I119" s="351">
        <f t="shared" ref="I119:I126" si="2">I74</f>
        <v>4060</v>
      </c>
      <c r="J119" s="351">
        <f t="shared" ref="J119:J126" si="3">INT(C119*I119)</f>
        <v>324</v>
      </c>
      <c r="K119" s="352"/>
    </row>
    <row r="120" spans="1:11" s="347" customFormat="1" ht="15" customHeight="1">
      <c r="A120" s="348" t="s">
        <v>1257</v>
      </c>
      <c r="B120" s="349" t="s">
        <v>681</v>
      </c>
      <c r="C120" s="350">
        <v>0.08</v>
      </c>
      <c r="D120" s="349" t="s">
        <v>843</v>
      </c>
      <c r="E120" s="351"/>
      <c r="F120" s="351"/>
      <c r="G120" s="351"/>
      <c r="H120" s="351"/>
      <c r="I120" s="351">
        <f t="shared" si="2"/>
        <v>15971</v>
      </c>
      <c r="J120" s="351">
        <f t="shared" si="3"/>
        <v>1277</v>
      </c>
      <c r="K120" s="352"/>
    </row>
    <row r="121" spans="1:11" s="347" customFormat="1" ht="15" customHeight="1">
      <c r="A121" s="348" t="s">
        <v>835</v>
      </c>
      <c r="B121" s="349" t="s">
        <v>682</v>
      </c>
      <c r="C121" s="350">
        <v>0.08</v>
      </c>
      <c r="D121" s="349" t="s">
        <v>843</v>
      </c>
      <c r="E121" s="351">
        <f>E76</f>
        <v>29577</v>
      </c>
      <c r="F121" s="351">
        <f>INT(C121*E121)</f>
        <v>2366</v>
      </c>
      <c r="G121" s="351">
        <f>G76</f>
        <v>20561</v>
      </c>
      <c r="H121" s="351">
        <f>INT(C121*G121)</f>
        <v>1644</v>
      </c>
      <c r="I121" s="351">
        <f t="shared" si="2"/>
        <v>4656</v>
      </c>
      <c r="J121" s="351">
        <f t="shared" si="3"/>
        <v>372</v>
      </c>
      <c r="K121" s="352"/>
    </row>
    <row r="122" spans="1:11" s="347" customFormat="1" ht="15" customHeight="1">
      <c r="A122" s="348" t="s">
        <v>845</v>
      </c>
      <c r="B122" s="349" t="s">
        <v>1244</v>
      </c>
      <c r="C122" s="350">
        <v>0.08</v>
      </c>
      <c r="D122" s="349" t="s">
        <v>843</v>
      </c>
      <c r="E122" s="351">
        <f t="shared" ref="E122:G124" si="4">E77</f>
        <v>11704</v>
      </c>
      <c r="F122" s="351">
        <f>INT(C122*E122)</f>
        <v>936</v>
      </c>
      <c r="G122" s="351">
        <f t="shared" si="4"/>
        <v>11704</v>
      </c>
      <c r="H122" s="351">
        <f>INT(C122*G122)</f>
        <v>936</v>
      </c>
      <c r="I122" s="351">
        <f t="shared" si="2"/>
        <v>3752</v>
      </c>
      <c r="J122" s="351">
        <f t="shared" si="3"/>
        <v>300</v>
      </c>
      <c r="K122" s="352"/>
    </row>
    <row r="123" spans="1:11" s="347" customFormat="1" ht="15" customHeight="1">
      <c r="A123" s="348" t="s">
        <v>1258</v>
      </c>
      <c r="B123" s="349" t="s">
        <v>1259</v>
      </c>
      <c r="C123" s="350">
        <v>0.08</v>
      </c>
      <c r="D123" s="349" t="s">
        <v>843</v>
      </c>
      <c r="E123" s="351">
        <f t="shared" si="4"/>
        <v>4036</v>
      </c>
      <c r="F123" s="351">
        <f>INT(C123*E123)</f>
        <v>322</v>
      </c>
      <c r="G123" s="351">
        <f t="shared" si="4"/>
        <v>17696</v>
      </c>
      <c r="H123" s="351">
        <f>INT(C123*G123)</f>
        <v>1415</v>
      </c>
      <c r="I123" s="351">
        <f t="shared" si="2"/>
        <v>8036</v>
      </c>
      <c r="J123" s="351">
        <f t="shared" si="3"/>
        <v>642</v>
      </c>
      <c r="K123" s="352"/>
    </row>
    <row r="124" spans="1:11" s="347" customFormat="1" ht="15" customHeight="1">
      <c r="A124" s="348" t="s">
        <v>846</v>
      </c>
      <c r="B124" s="349" t="s">
        <v>847</v>
      </c>
      <c r="C124" s="350">
        <v>0.08</v>
      </c>
      <c r="D124" s="349" t="s">
        <v>843</v>
      </c>
      <c r="E124" s="351">
        <f t="shared" si="4"/>
        <v>13117</v>
      </c>
      <c r="F124" s="351">
        <f>INT(C124*E124)</f>
        <v>1049</v>
      </c>
      <c r="G124" s="351">
        <f t="shared" si="4"/>
        <v>17696</v>
      </c>
      <c r="H124" s="351">
        <f>INT(C124*G124)</f>
        <v>1415</v>
      </c>
      <c r="I124" s="351">
        <f t="shared" si="2"/>
        <v>7823</v>
      </c>
      <c r="J124" s="351">
        <f t="shared" si="3"/>
        <v>625</v>
      </c>
      <c r="K124" s="352"/>
    </row>
    <row r="125" spans="1:11" s="347" customFormat="1" ht="15" customHeight="1">
      <c r="A125" s="348" t="s">
        <v>683</v>
      </c>
      <c r="B125" s="349" t="s">
        <v>684</v>
      </c>
      <c r="C125" s="350">
        <v>0.08</v>
      </c>
      <c r="D125" s="349" t="s">
        <v>843</v>
      </c>
      <c r="E125" s="351"/>
      <c r="F125" s="351"/>
      <c r="G125" s="351"/>
      <c r="H125" s="351"/>
      <c r="I125" s="351">
        <f t="shared" si="2"/>
        <v>21808</v>
      </c>
      <c r="J125" s="351">
        <f t="shared" si="3"/>
        <v>1744</v>
      </c>
      <c r="K125" s="352"/>
    </row>
    <row r="126" spans="1:11" s="347" customFormat="1" ht="15" customHeight="1">
      <c r="A126" s="348" t="s">
        <v>685</v>
      </c>
      <c r="B126" s="349" t="s">
        <v>686</v>
      </c>
      <c r="C126" s="350">
        <v>0.08</v>
      </c>
      <c r="D126" s="349" t="s">
        <v>843</v>
      </c>
      <c r="E126" s="351"/>
      <c r="F126" s="351"/>
      <c r="G126" s="351"/>
      <c r="H126" s="351"/>
      <c r="I126" s="351">
        <f t="shared" si="2"/>
        <v>7417</v>
      </c>
      <c r="J126" s="351">
        <f t="shared" si="3"/>
        <v>593</v>
      </c>
      <c r="K126" s="352"/>
    </row>
    <row r="127" spans="1:11" s="347" customFormat="1" ht="15" customHeight="1">
      <c r="A127" s="348" t="s">
        <v>837</v>
      </c>
      <c r="B127" s="349"/>
      <c r="C127" s="350">
        <v>0.01</v>
      </c>
      <c r="D127" s="349" t="s">
        <v>964</v>
      </c>
      <c r="E127" s="350"/>
      <c r="F127" s="351"/>
      <c r="G127" s="351">
        <f ca="1">'11.0시중노임'!F4</f>
        <v>92218</v>
      </c>
      <c r="H127" s="351">
        <f>INT(C127*G127)</f>
        <v>922</v>
      </c>
      <c r="I127" s="351"/>
      <c r="J127" s="351"/>
      <c r="K127" s="352"/>
    </row>
    <row r="128" spans="1:11" s="347" customFormat="1" ht="15" customHeight="1">
      <c r="A128" s="348" t="s">
        <v>838</v>
      </c>
      <c r="B128" s="349"/>
      <c r="C128" s="350">
        <v>0.04</v>
      </c>
      <c r="D128" s="349" t="s">
        <v>964</v>
      </c>
      <c r="E128" s="350"/>
      <c r="F128" s="351"/>
      <c r="G128" s="351">
        <f ca="1">'11.0시중노임'!F5</f>
        <v>84404</v>
      </c>
      <c r="H128" s="351">
        <f>INT(C128*G128)</f>
        <v>3376</v>
      </c>
      <c r="I128" s="351"/>
      <c r="J128" s="351"/>
      <c r="K128" s="352"/>
    </row>
    <row r="129" spans="1:11" s="347" customFormat="1" ht="15" customHeight="1">
      <c r="A129" s="348" t="s">
        <v>848</v>
      </c>
      <c r="B129" s="349"/>
      <c r="C129" s="350">
        <v>0.01</v>
      </c>
      <c r="D129" s="349" t="s">
        <v>964</v>
      </c>
      <c r="E129" s="350"/>
      <c r="F129" s="351"/>
      <c r="G129" s="351">
        <f ca="1">'11.0시중노임'!F12</f>
        <v>86521</v>
      </c>
      <c r="H129" s="351">
        <f>INT(C129*G129)</f>
        <v>865</v>
      </c>
      <c r="I129" s="351"/>
      <c r="J129" s="351"/>
      <c r="K129" s="352"/>
    </row>
    <row r="130" spans="1:11" s="347" customFormat="1" ht="15" customHeight="1">
      <c r="A130" s="348" t="s">
        <v>839</v>
      </c>
      <c r="B130" s="349"/>
      <c r="C130" s="350">
        <v>0.08</v>
      </c>
      <c r="D130" s="349" t="s">
        <v>964</v>
      </c>
      <c r="E130" s="350"/>
      <c r="F130" s="351"/>
      <c r="G130" s="351">
        <f ca="1">'11.0시중노임'!F6</f>
        <v>68965</v>
      </c>
      <c r="H130" s="351">
        <f>INT(C130*G130)</f>
        <v>5517</v>
      </c>
      <c r="I130" s="351"/>
      <c r="J130" s="351"/>
      <c r="K130" s="352"/>
    </row>
    <row r="131" spans="1:11" s="347" customFormat="1" ht="15" customHeight="1">
      <c r="A131" s="348" t="s">
        <v>849</v>
      </c>
      <c r="B131" s="349"/>
      <c r="C131" s="350"/>
      <c r="D131" s="349"/>
      <c r="E131" s="350"/>
      <c r="F131" s="351">
        <f>INT(SUM(F116:F130))</f>
        <v>10798</v>
      </c>
      <c r="G131" s="351"/>
      <c r="H131" s="351">
        <f>INT(SUM(H116:H130))</f>
        <v>17283</v>
      </c>
      <c r="I131" s="351"/>
      <c r="J131" s="351">
        <f>INT(SUM(J116:J130))</f>
        <v>5877</v>
      </c>
      <c r="K131" s="352">
        <f>INT(SUM(F131:J131))</f>
        <v>33958</v>
      </c>
    </row>
    <row r="132" spans="1:11" s="347" customFormat="1" ht="15" customHeight="1">
      <c r="A132" s="363" t="s">
        <v>886</v>
      </c>
      <c r="B132" s="364"/>
      <c r="C132" s="364"/>
      <c r="D132" s="365"/>
      <c r="E132" s="364"/>
      <c r="F132" s="366">
        <f>F131+F114+F105+F97</f>
        <v>14483</v>
      </c>
      <c r="G132" s="366"/>
      <c r="H132" s="366">
        <f>H131+H114+H105+H97</f>
        <v>23809</v>
      </c>
      <c r="I132" s="366"/>
      <c r="J132" s="366">
        <f>J131+J114+J105+J97</f>
        <v>6099</v>
      </c>
      <c r="K132" s="367">
        <f>K131+K114+K105+K97</f>
        <v>44391</v>
      </c>
    </row>
    <row r="133" spans="1:11" s="347" customFormat="1" ht="15" customHeight="1">
      <c r="A133" s="342"/>
      <c r="B133" s="342"/>
      <c r="C133" s="342"/>
      <c r="D133" s="368"/>
      <c r="E133" s="342"/>
      <c r="F133" s="342"/>
      <c r="G133" s="1798" t="s">
        <v>687</v>
      </c>
      <c r="H133" s="1798"/>
      <c r="I133" s="1798"/>
      <c r="J133" s="1798"/>
      <c r="K133" s="1798"/>
    </row>
    <row r="134" spans="1:11" ht="26.1" customHeight="1">
      <c r="A134" s="1804" t="s">
        <v>664</v>
      </c>
      <c r="B134" s="1804"/>
      <c r="C134" s="1804"/>
      <c r="D134" s="1804"/>
      <c r="E134" s="1804"/>
      <c r="F134" s="1804"/>
      <c r="G134" s="1804"/>
      <c r="H134" s="1804"/>
      <c r="I134" s="1804"/>
      <c r="J134" s="1804"/>
      <c r="K134" s="1804"/>
    </row>
    <row r="135" spans="1:11" s="347" customFormat="1" ht="15" customHeight="1">
      <c r="A135" s="1802" t="s">
        <v>821</v>
      </c>
      <c r="B135" s="1796" t="s">
        <v>822</v>
      </c>
      <c r="C135" s="1796" t="s">
        <v>823</v>
      </c>
      <c r="D135" s="1796" t="s">
        <v>824</v>
      </c>
      <c r="E135" s="1796" t="s">
        <v>825</v>
      </c>
      <c r="F135" s="1796"/>
      <c r="G135" s="1796" t="s">
        <v>826</v>
      </c>
      <c r="H135" s="1796"/>
      <c r="I135" s="1796" t="s">
        <v>827</v>
      </c>
      <c r="J135" s="1796"/>
      <c r="K135" s="1799" t="s">
        <v>828</v>
      </c>
    </row>
    <row r="136" spans="1:11" s="347" customFormat="1" ht="15" customHeight="1">
      <c r="A136" s="1803"/>
      <c r="B136" s="1797"/>
      <c r="C136" s="1797"/>
      <c r="D136" s="1797"/>
      <c r="E136" s="349" t="s">
        <v>829</v>
      </c>
      <c r="F136" s="349" t="s">
        <v>830</v>
      </c>
      <c r="G136" s="349" t="s">
        <v>829</v>
      </c>
      <c r="H136" s="349" t="s">
        <v>830</v>
      </c>
      <c r="I136" s="349" t="s">
        <v>829</v>
      </c>
      <c r="J136" s="349" t="s">
        <v>830</v>
      </c>
      <c r="K136" s="1800"/>
    </row>
    <row r="137" spans="1:11" s="347" customFormat="1" ht="15" customHeight="1">
      <c r="A137" s="411" t="s">
        <v>1243</v>
      </c>
      <c r="B137" s="412"/>
      <c r="C137" s="412"/>
      <c r="D137" s="413"/>
      <c r="E137" s="412"/>
      <c r="F137" s="412"/>
      <c r="G137" s="412"/>
      <c r="H137" s="412"/>
      <c r="I137" s="412"/>
      <c r="J137" s="412"/>
      <c r="K137" s="414"/>
    </row>
    <row r="138" spans="1:11" s="347" customFormat="1" ht="15" customHeight="1">
      <c r="A138" s="348" t="s">
        <v>845</v>
      </c>
      <c r="B138" s="349" t="s">
        <v>1244</v>
      </c>
      <c r="C138" s="410">
        <v>0.02</v>
      </c>
      <c r="D138" s="349" t="s">
        <v>843</v>
      </c>
      <c r="E138" s="351">
        <f>E93</f>
        <v>11704</v>
      </c>
      <c r="F138" s="351">
        <f>INT(E138*C138)</f>
        <v>234</v>
      </c>
      <c r="G138" s="351">
        <f>G93</f>
        <v>14915</v>
      </c>
      <c r="H138" s="351">
        <f>INT(C138*G138)</f>
        <v>298</v>
      </c>
      <c r="I138" s="351">
        <f>I93</f>
        <v>3752</v>
      </c>
      <c r="J138" s="351">
        <f>INT(C138*I138)</f>
        <v>75</v>
      </c>
      <c r="K138" s="352"/>
    </row>
    <row r="139" spans="1:11" s="347" customFormat="1" ht="15" customHeight="1">
      <c r="A139" s="348" t="s">
        <v>1245</v>
      </c>
      <c r="B139" s="353"/>
      <c r="C139" s="350">
        <v>1.2E-2</v>
      </c>
      <c r="D139" s="349" t="s">
        <v>964</v>
      </c>
      <c r="E139" s="351"/>
      <c r="F139" s="351"/>
      <c r="G139" s="351">
        <f ca="1">'11.0시중노임'!F3</f>
        <v>79533</v>
      </c>
      <c r="H139" s="351">
        <f>INT(C139*G139)</f>
        <v>954</v>
      </c>
      <c r="I139" s="351"/>
      <c r="J139" s="351"/>
      <c r="K139" s="352"/>
    </row>
    <row r="140" spans="1:11" s="347" customFormat="1" ht="15" customHeight="1">
      <c r="A140" s="348" t="s">
        <v>839</v>
      </c>
      <c r="B140" s="349"/>
      <c r="C140" s="350">
        <v>1.2E-2</v>
      </c>
      <c r="D140" s="349" t="s">
        <v>964</v>
      </c>
      <c r="E140" s="351"/>
      <c r="F140" s="351"/>
      <c r="G140" s="351">
        <f ca="1">'11.0시중노임'!F6</f>
        <v>68965</v>
      </c>
      <c r="H140" s="351">
        <f>INT(C140*G140)</f>
        <v>827</v>
      </c>
      <c r="I140" s="351"/>
      <c r="J140" s="351"/>
      <c r="K140" s="352"/>
    </row>
    <row r="141" spans="1:11" s="347" customFormat="1" ht="15" customHeight="1">
      <c r="A141" s="354" t="s">
        <v>688</v>
      </c>
      <c r="B141" s="349" t="s">
        <v>1246</v>
      </c>
      <c r="C141" s="350" t="s">
        <v>1247</v>
      </c>
      <c r="D141" s="349"/>
      <c r="E141" s="351"/>
      <c r="F141" s="351"/>
      <c r="G141" s="351"/>
      <c r="H141" s="351"/>
      <c r="I141" s="351">
        <f>(F138+F139+F140+H138+H139+H140+J138+J139+J140)</f>
        <v>2388</v>
      </c>
      <c r="J141" s="351">
        <f>INT(I141*2.5%)</f>
        <v>59</v>
      </c>
      <c r="K141" s="352"/>
    </row>
    <row r="142" spans="1:11" s="347" customFormat="1" ht="15" customHeight="1">
      <c r="A142" s="348" t="s">
        <v>849</v>
      </c>
      <c r="B142" s="349"/>
      <c r="C142" s="350"/>
      <c r="D142" s="349"/>
      <c r="E142" s="351"/>
      <c r="F142" s="351">
        <f>SUM(F138:F141)</f>
        <v>234</v>
      </c>
      <c r="G142" s="351"/>
      <c r="H142" s="351">
        <f>SUM(H138:H141)</f>
        <v>2079</v>
      </c>
      <c r="I142" s="351"/>
      <c r="J142" s="351">
        <f>SUM(J138:J141)</f>
        <v>134</v>
      </c>
      <c r="K142" s="352">
        <f>INT(SUM(F142:J142))</f>
        <v>2447</v>
      </c>
    </row>
    <row r="143" spans="1:11" s="347" customFormat="1" ht="15" customHeight="1">
      <c r="A143" s="355" t="s">
        <v>1248</v>
      </c>
      <c r="B143" s="356"/>
      <c r="C143" s="356"/>
      <c r="D143" s="357"/>
      <c r="E143" s="358"/>
      <c r="F143" s="358"/>
      <c r="G143" s="358"/>
      <c r="H143" s="358"/>
      <c r="I143" s="358"/>
      <c r="J143" s="358"/>
      <c r="K143" s="359"/>
    </row>
    <row r="144" spans="1:11" s="347" customFormat="1" ht="15" customHeight="1">
      <c r="A144" s="348" t="s">
        <v>1249</v>
      </c>
      <c r="B144" s="349" t="s">
        <v>665</v>
      </c>
      <c r="C144" s="350">
        <v>0.23</v>
      </c>
      <c r="D144" s="349" t="s">
        <v>1014</v>
      </c>
      <c r="E144" s="351">
        <f>E99</f>
        <v>830</v>
      </c>
      <c r="F144" s="351">
        <f>INT(C144*E144)</f>
        <v>190</v>
      </c>
      <c r="G144" s="351"/>
      <c r="H144" s="351"/>
      <c r="I144" s="351"/>
      <c r="J144" s="351"/>
      <c r="K144" s="352"/>
    </row>
    <row r="145" spans="1:11" s="347" customFormat="1" ht="15" customHeight="1">
      <c r="A145" s="348" t="s">
        <v>1250</v>
      </c>
      <c r="B145" s="349" t="s">
        <v>1251</v>
      </c>
      <c r="C145" s="360">
        <v>0.5</v>
      </c>
      <c r="D145" s="349" t="s">
        <v>1014</v>
      </c>
      <c r="E145" s="351">
        <f>E100</f>
        <v>660</v>
      </c>
      <c r="F145" s="351">
        <f>INT(C145*E145)</f>
        <v>330</v>
      </c>
      <c r="G145" s="351"/>
      <c r="H145" s="351"/>
      <c r="I145" s="351"/>
      <c r="J145" s="351"/>
      <c r="K145" s="352"/>
    </row>
    <row r="146" spans="1:11" s="347" customFormat="1" ht="15" customHeight="1">
      <c r="A146" s="348" t="s">
        <v>838</v>
      </c>
      <c r="B146" s="349"/>
      <c r="C146" s="350">
        <v>6.0000000000000001E-3</v>
      </c>
      <c r="D146" s="349" t="s">
        <v>964</v>
      </c>
      <c r="E146" s="351"/>
      <c r="F146" s="351"/>
      <c r="G146" s="351">
        <f ca="1">'11.0시중노임'!F5</f>
        <v>84404</v>
      </c>
      <c r="H146" s="351">
        <f>INT(C146*G146)</f>
        <v>506</v>
      </c>
      <c r="I146" s="351"/>
      <c r="J146" s="351"/>
      <c r="K146" s="352"/>
    </row>
    <row r="147" spans="1:11" s="347" customFormat="1" ht="15" customHeight="1">
      <c r="A147" s="348" t="s">
        <v>839</v>
      </c>
      <c r="B147" s="349"/>
      <c r="C147" s="350">
        <v>6.0000000000000001E-3</v>
      </c>
      <c r="D147" s="349" t="s">
        <v>964</v>
      </c>
      <c r="E147" s="351"/>
      <c r="F147" s="351"/>
      <c r="G147" s="351">
        <f ca="1">'11.0시중노임'!F6</f>
        <v>68965</v>
      </c>
      <c r="H147" s="351">
        <f>INT(C147*G147)</f>
        <v>413</v>
      </c>
      <c r="I147" s="351"/>
      <c r="J147" s="351"/>
      <c r="K147" s="352"/>
    </row>
    <row r="148" spans="1:11" s="347" customFormat="1" ht="15" customHeight="1">
      <c r="A148" s="348" t="s">
        <v>666</v>
      </c>
      <c r="B148" s="349" t="s">
        <v>667</v>
      </c>
      <c r="C148" s="350">
        <v>3</v>
      </c>
      <c r="D148" s="349" t="s">
        <v>965</v>
      </c>
      <c r="E148" s="351">
        <f>SUM(F144:F147)</f>
        <v>520</v>
      </c>
      <c r="F148" s="351">
        <f>INT(E148*C148%)</f>
        <v>15</v>
      </c>
      <c r="G148" s="351"/>
      <c r="H148" s="351"/>
      <c r="I148" s="351"/>
      <c r="J148" s="351"/>
      <c r="K148" s="352"/>
    </row>
    <row r="149" spans="1:11" s="347" customFormat="1" ht="15" customHeight="1">
      <c r="A149" s="348" t="s">
        <v>840</v>
      </c>
      <c r="B149" s="349" t="s">
        <v>668</v>
      </c>
      <c r="C149" s="350">
        <v>2</v>
      </c>
      <c r="D149" s="349" t="s">
        <v>965</v>
      </c>
      <c r="E149" s="351"/>
      <c r="F149" s="351"/>
      <c r="G149" s="351"/>
      <c r="H149" s="351"/>
      <c r="I149" s="351">
        <f>SUM(H144:H149)</f>
        <v>919</v>
      </c>
      <c r="J149" s="351">
        <f>INT(I149*C149%)</f>
        <v>18</v>
      </c>
      <c r="K149" s="352"/>
    </row>
    <row r="150" spans="1:11" s="347" customFormat="1" ht="15" customHeight="1">
      <c r="A150" s="348" t="s">
        <v>849</v>
      </c>
      <c r="B150" s="349"/>
      <c r="C150" s="350"/>
      <c r="D150" s="349"/>
      <c r="E150" s="351"/>
      <c r="F150" s="351">
        <f>SUM(F144:F149)</f>
        <v>535</v>
      </c>
      <c r="G150" s="351"/>
      <c r="H150" s="351">
        <f>SUM(H144:H149)</f>
        <v>919</v>
      </c>
      <c r="I150" s="351"/>
      <c r="J150" s="351">
        <f>SUM(J144:J149)</f>
        <v>18</v>
      </c>
      <c r="K150" s="352">
        <f>INT(SUM(F150:J150))</f>
        <v>1472</v>
      </c>
    </row>
    <row r="151" spans="1:11" s="347" customFormat="1" ht="15" customHeight="1">
      <c r="A151" s="355" t="s">
        <v>1252</v>
      </c>
      <c r="B151" s="357"/>
      <c r="C151" s="356"/>
      <c r="D151" s="357"/>
      <c r="E151" s="358"/>
      <c r="F151" s="358"/>
      <c r="G151" s="358"/>
      <c r="H151" s="358"/>
      <c r="I151" s="358"/>
      <c r="J151" s="358"/>
      <c r="K151" s="359"/>
    </row>
    <row r="152" spans="1:11" s="347" customFormat="1" ht="15" customHeight="1">
      <c r="A152" s="348" t="s">
        <v>1253</v>
      </c>
      <c r="B152" s="349" t="s">
        <v>669</v>
      </c>
      <c r="C152" s="350">
        <v>1.2</v>
      </c>
      <c r="D152" s="349" t="s">
        <v>869</v>
      </c>
      <c r="E152" s="351">
        <v>3260</v>
      </c>
      <c r="F152" s="351">
        <f>INT(C152*E152)</f>
        <v>3912</v>
      </c>
      <c r="G152" s="351"/>
      <c r="H152" s="351"/>
      <c r="I152" s="351"/>
      <c r="J152" s="351"/>
      <c r="K152" s="352"/>
    </row>
    <row r="153" spans="1:11" s="347" customFormat="1" ht="15" customHeight="1">
      <c r="A153" s="348" t="s">
        <v>1254</v>
      </c>
      <c r="B153" s="349" t="s">
        <v>1255</v>
      </c>
      <c r="C153" s="350">
        <v>1.2</v>
      </c>
      <c r="D153" s="349" t="s">
        <v>1022</v>
      </c>
      <c r="E153" s="351">
        <v>240</v>
      </c>
      <c r="F153" s="351">
        <f>INT(C153*E153)</f>
        <v>288</v>
      </c>
      <c r="G153" s="351"/>
      <c r="H153" s="351"/>
      <c r="I153" s="351"/>
      <c r="J153" s="351"/>
      <c r="K153" s="352"/>
    </row>
    <row r="154" spans="1:11" s="347" customFormat="1" ht="15" customHeight="1">
      <c r="A154" s="348" t="s">
        <v>837</v>
      </c>
      <c r="B154" s="349"/>
      <c r="C154" s="350">
        <v>5.0000000000000001E-3</v>
      </c>
      <c r="D154" s="349" t="s">
        <v>964</v>
      </c>
      <c r="E154" s="351"/>
      <c r="F154" s="351"/>
      <c r="G154" s="351">
        <f ca="1">'11.0시중노임'!F4</f>
        <v>92218</v>
      </c>
      <c r="H154" s="351">
        <f>INT(C154*G154)</f>
        <v>461</v>
      </c>
      <c r="I154" s="351"/>
      <c r="J154" s="351"/>
      <c r="K154" s="352"/>
    </row>
    <row r="155" spans="1:11" s="347" customFormat="1" ht="15" customHeight="1">
      <c r="A155" s="348" t="s">
        <v>838</v>
      </c>
      <c r="B155" s="349"/>
      <c r="C155" s="350">
        <v>0.02</v>
      </c>
      <c r="D155" s="349" t="s">
        <v>964</v>
      </c>
      <c r="E155" s="351"/>
      <c r="F155" s="351"/>
      <c r="G155" s="351">
        <f ca="1">'11.0시중노임'!F5</f>
        <v>84404</v>
      </c>
      <c r="H155" s="351">
        <f>INT(C155*G155)</f>
        <v>1688</v>
      </c>
      <c r="I155" s="351"/>
      <c r="J155" s="351"/>
      <c r="K155" s="352"/>
    </row>
    <row r="156" spans="1:11" s="347" customFormat="1" ht="15" customHeight="1">
      <c r="A156" s="348" t="s">
        <v>839</v>
      </c>
      <c r="B156" s="349"/>
      <c r="C156" s="360">
        <v>0.02</v>
      </c>
      <c r="D156" s="349" t="s">
        <v>964</v>
      </c>
      <c r="E156" s="351"/>
      <c r="F156" s="351"/>
      <c r="G156" s="351">
        <f ca="1">'11.0시중노임'!F6</f>
        <v>68965</v>
      </c>
      <c r="H156" s="351">
        <f>INT(C156*G156)</f>
        <v>1379</v>
      </c>
      <c r="I156" s="351"/>
      <c r="J156" s="351"/>
      <c r="K156" s="352"/>
    </row>
    <row r="157" spans="1:11" s="347" customFormat="1" ht="15" customHeight="1">
      <c r="A157" s="348" t="s">
        <v>666</v>
      </c>
      <c r="B157" s="349" t="s">
        <v>667</v>
      </c>
      <c r="C157" s="350">
        <v>3</v>
      </c>
      <c r="D157" s="349" t="s">
        <v>965</v>
      </c>
      <c r="E157" s="351">
        <f>SUM(F152:F156)</f>
        <v>4200</v>
      </c>
      <c r="F157" s="351">
        <f>INT(E157*C157%)</f>
        <v>126</v>
      </c>
      <c r="G157" s="351"/>
      <c r="H157" s="351"/>
      <c r="I157" s="351"/>
      <c r="J157" s="351"/>
      <c r="K157" s="352"/>
    </row>
    <row r="158" spans="1:11" s="347" customFormat="1" ht="15" customHeight="1">
      <c r="A158" s="348" t="s">
        <v>840</v>
      </c>
      <c r="B158" s="349" t="s">
        <v>668</v>
      </c>
      <c r="C158" s="350">
        <v>2</v>
      </c>
      <c r="D158" s="349" t="s">
        <v>965</v>
      </c>
      <c r="E158" s="351"/>
      <c r="F158" s="351"/>
      <c r="G158" s="351"/>
      <c r="H158" s="351"/>
      <c r="I158" s="351">
        <f>SUM(H152:H157)</f>
        <v>3528</v>
      </c>
      <c r="J158" s="351">
        <f>INT(I158*C158%)</f>
        <v>70</v>
      </c>
      <c r="K158" s="352"/>
    </row>
    <row r="159" spans="1:11" s="347" customFormat="1" ht="15" customHeight="1">
      <c r="A159" s="348" t="s">
        <v>849</v>
      </c>
      <c r="B159" s="349"/>
      <c r="C159" s="361"/>
      <c r="D159" s="349"/>
      <c r="E159" s="351"/>
      <c r="F159" s="351">
        <f>INT(SUM(F152:F158))</f>
        <v>4326</v>
      </c>
      <c r="G159" s="351"/>
      <c r="H159" s="351">
        <f>INT(SUM(H152:H158))</f>
        <v>3528</v>
      </c>
      <c r="I159" s="351"/>
      <c r="J159" s="351">
        <f>INT(SUM(J152:J158))</f>
        <v>70</v>
      </c>
      <c r="K159" s="352">
        <f>INT(SUM(F159:J159))</f>
        <v>7924</v>
      </c>
    </row>
    <row r="160" spans="1:11" s="347" customFormat="1" ht="15" customHeight="1">
      <c r="A160" s="355" t="s">
        <v>890</v>
      </c>
      <c r="B160" s="357"/>
      <c r="C160" s="356"/>
      <c r="D160" s="357"/>
      <c r="E160" s="358"/>
      <c r="F160" s="358"/>
      <c r="G160" s="358"/>
      <c r="H160" s="358"/>
      <c r="I160" s="358"/>
      <c r="J160" s="358"/>
      <c r="K160" s="359"/>
    </row>
    <row r="161" spans="1:11" s="347" customFormat="1" ht="15" customHeight="1">
      <c r="A161" s="348" t="s">
        <v>674</v>
      </c>
      <c r="B161" s="349"/>
      <c r="C161" s="350">
        <v>0.12</v>
      </c>
      <c r="D161" s="349" t="s">
        <v>1256</v>
      </c>
      <c r="E161" s="351">
        <f>E116</f>
        <v>54000</v>
      </c>
      <c r="F161" s="351">
        <f>INT(C161*E161)</f>
        <v>6480</v>
      </c>
      <c r="G161" s="351"/>
      <c r="H161" s="351"/>
      <c r="I161" s="351"/>
      <c r="J161" s="351"/>
      <c r="K161" s="352"/>
    </row>
    <row r="162" spans="1:11" s="347" customFormat="1" ht="15" customHeight="1">
      <c r="A162" s="348" t="s">
        <v>673</v>
      </c>
      <c r="B162" s="349" t="s">
        <v>675</v>
      </c>
      <c r="C162" s="350">
        <v>180</v>
      </c>
      <c r="D162" s="349" t="s">
        <v>1649</v>
      </c>
      <c r="E162" s="351">
        <f>E117</f>
        <v>5</v>
      </c>
      <c r="F162" s="351">
        <f>INT(C162*E162)</f>
        <v>900</v>
      </c>
      <c r="G162" s="351"/>
      <c r="H162" s="351"/>
      <c r="I162" s="351"/>
      <c r="J162" s="351"/>
      <c r="K162" s="352"/>
    </row>
    <row r="163" spans="1:11" s="347" customFormat="1" ht="15" customHeight="1">
      <c r="A163" s="348" t="s">
        <v>676</v>
      </c>
      <c r="B163" s="349" t="s">
        <v>677</v>
      </c>
      <c r="C163" s="350">
        <v>0.38400000000000001</v>
      </c>
      <c r="D163" s="349" t="s">
        <v>1223</v>
      </c>
      <c r="E163" s="351">
        <f>E118</f>
        <v>4000</v>
      </c>
      <c r="F163" s="351">
        <f>INT(C163*E163)</f>
        <v>1536</v>
      </c>
      <c r="G163" s="351"/>
      <c r="H163" s="351"/>
      <c r="I163" s="351"/>
      <c r="J163" s="351"/>
      <c r="K163" s="352"/>
    </row>
    <row r="164" spans="1:11" s="347" customFormat="1" ht="15" customHeight="1">
      <c r="A164" s="348" t="s">
        <v>678</v>
      </c>
      <c r="B164" s="349" t="s">
        <v>679</v>
      </c>
      <c r="C164" s="350">
        <v>0.12</v>
      </c>
      <c r="D164" s="349" t="s">
        <v>843</v>
      </c>
      <c r="E164" s="351">
        <f>E119</f>
        <v>2272</v>
      </c>
      <c r="F164" s="351">
        <f>INT(C164*E164)</f>
        <v>272</v>
      </c>
      <c r="G164" s="351">
        <f>G119</f>
        <v>14915</v>
      </c>
      <c r="H164" s="351">
        <f>INT(C164*G164)</f>
        <v>1789</v>
      </c>
      <c r="I164" s="351">
        <f>I119</f>
        <v>4060</v>
      </c>
      <c r="J164" s="351">
        <f t="shared" ref="J164:J171" si="5">INT(C164*I164)</f>
        <v>487</v>
      </c>
      <c r="K164" s="352"/>
    </row>
    <row r="165" spans="1:11" s="347" customFormat="1" ht="15" customHeight="1">
      <c r="A165" s="348" t="s">
        <v>1257</v>
      </c>
      <c r="B165" s="349" t="s">
        <v>681</v>
      </c>
      <c r="C165" s="350">
        <v>0.12</v>
      </c>
      <c r="D165" s="349" t="s">
        <v>843</v>
      </c>
      <c r="E165" s="351"/>
      <c r="F165" s="351"/>
      <c r="G165" s="351"/>
      <c r="H165" s="351"/>
      <c r="I165" s="351">
        <f>I120</f>
        <v>15971</v>
      </c>
      <c r="J165" s="351">
        <f t="shared" si="5"/>
        <v>1916</v>
      </c>
      <c r="K165" s="352"/>
    </row>
    <row r="166" spans="1:11" s="347" customFormat="1" ht="15" customHeight="1">
      <c r="A166" s="348" t="s">
        <v>835</v>
      </c>
      <c r="B166" s="349" t="s">
        <v>682</v>
      </c>
      <c r="C166" s="350">
        <v>0.12</v>
      </c>
      <c r="D166" s="349" t="s">
        <v>843</v>
      </c>
      <c r="E166" s="351">
        <f>E121</f>
        <v>29577</v>
      </c>
      <c r="F166" s="351">
        <f>INT(C166*E166)</f>
        <v>3549</v>
      </c>
      <c r="G166" s="351">
        <f>G121</f>
        <v>20561</v>
      </c>
      <c r="H166" s="351">
        <f>INT(C166*G166)</f>
        <v>2467</v>
      </c>
      <c r="I166" s="351">
        <f>I121</f>
        <v>4656</v>
      </c>
      <c r="J166" s="351">
        <f t="shared" si="5"/>
        <v>558</v>
      </c>
      <c r="K166" s="352"/>
    </row>
    <row r="167" spans="1:11" s="347" customFormat="1" ht="15" customHeight="1">
      <c r="A167" s="348" t="s">
        <v>845</v>
      </c>
      <c r="B167" s="349" t="s">
        <v>1244</v>
      </c>
      <c r="C167" s="350">
        <v>0.12</v>
      </c>
      <c r="D167" s="349" t="s">
        <v>843</v>
      </c>
      <c r="E167" s="351">
        <f>E122</f>
        <v>11704</v>
      </c>
      <c r="F167" s="351">
        <f>INT(C167*E167)</f>
        <v>1404</v>
      </c>
      <c r="G167" s="351">
        <f t="shared" ref="G167:I171" si="6">G122</f>
        <v>11704</v>
      </c>
      <c r="H167" s="351">
        <f>INT(C167*G167)</f>
        <v>1404</v>
      </c>
      <c r="I167" s="351">
        <f t="shared" si="6"/>
        <v>3752</v>
      </c>
      <c r="J167" s="351">
        <f t="shared" si="5"/>
        <v>450</v>
      </c>
      <c r="K167" s="352"/>
    </row>
    <row r="168" spans="1:11" s="347" customFormat="1" ht="15" customHeight="1">
      <c r="A168" s="348" t="s">
        <v>1258</v>
      </c>
      <c r="B168" s="349" t="s">
        <v>1259</v>
      </c>
      <c r="C168" s="350">
        <v>0.12</v>
      </c>
      <c r="D168" s="349" t="s">
        <v>843</v>
      </c>
      <c r="E168" s="351">
        <f>E123</f>
        <v>4036</v>
      </c>
      <c r="F168" s="351">
        <f>INT(C168*E168)</f>
        <v>484</v>
      </c>
      <c r="G168" s="351">
        <f t="shared" si="6"/>
        <v>17696</v>
      </c>
      <c r="H168" s="351">
        <f>INT(C168*G168)</f>
        <v>2123</v>
      </c>
      <c r="I168" s="351">
        <f t="shared" si="6"/>
        <v>8036</v>
      </c>
      <c r="J168" s="351">
        <f t="shared" si="5"/>
        <v>964</v>
      </c>
      <c r="K168" s="352"/>
    </row>
    <row r="169" spans="1:11" s="347" customFormat="1" ht="15" customHeight="1">
      <c r="A169" s="348" t="s">
        <v>846</v>
      </c>
      <c r="B169" s="349" t="s">
        <v>847</v>
      </c>
      <c r="C169" s="350">
        <v>0.12</v>
      </c>
      <c r="D169" s="349" t="s">
        <v>843</v>
      </c>
      <c r="E169" s="351">
        <f>E124</f>
        <v>13117</v>
      </c>
      <c r="F169" s="351">
        <f>INT(C169*E169)</f>
        <v>1574</v>
      </c>
      <c r="G169" s="351">
        <f t="shared" si="6"/>
        <v>17696</v>
      </c>
      <c r="H169" s="351">
        <f>INT(C169*G169)</f>
        <v>2123</v>
      </c>
      <c r="I169" s="351">
        <f t="shared" si="6"/>
        <v>7823</v>
      </c>
      <c r="J169" s="351">
        <f t="shared" si="5"/>
        <v>938</v>
      </c>
      <c r="K169" s="352"/>
    </row>
    <row r="170" spans="1:11" s="347" customFormat="1" ht="15" customHeight="1">
      <c r="A170" s="348" t="s">
        <v>683</v>
      </c>
      <c r="B170" s="349" t="s">
        <v>684</v>
      </c>
      <c r="C170" s="350">
        <v>0.12</v>
      </c>
      <c r="D170" s="349" t="s">
        <v>843</v>
      </c>
      <c r="E170" s="351"/>
      <c r="F170" s="351"/>
      <c r="G170" s="351"/>
      <c r="H170" s="351"/>
      <c r="I170" s="351">
        <f t="shared" si="6"/>
        <v>21808</v>
      </c>
      <c r="J170" s="351">
        <f t="shared" si="5"/>
        <v>2616</v>
      </c>
      <c r="K170" s="352"/>
    </row>
    <row r="171" spans="1:11" s="347" customFormat="1" ht="15" customHeight="1">
      <c r="A171" s="348" t="s">
        <v>685</v>
      </c>
      <c r="B171" s="349" t="s">
        <v>686</v>
      </c>
      <c r="C171" s="350">
        <v>0.12</v>
      </c>
      <c r="D171" s="349" t="s">
        <v>843</v>
      </c>
      <c r="E171" s="351"/>
      <c r="F171" s="351"/>
      <c r="G171" s="351"/>
      <c r="H171" s="351"/>
      <c r="I171" s="351">
        <f t="shared" si="6"/>
        <v>7417</v>
      </c>
      <c r="J171" s="351">
        <f t="shared" si="5"/>
        <v>890</v>
      </c>
      <c r="K171" s="352"/>
    </row>
    <row r="172" spans="1:11" s="347" customFormat="1" ht="15" customHeight="1">
      <c r="A172" s="348" t="s">
        <v>837</v>
      </c>
      <c r="B172" s="349"/>
      <c r="C172" s="350">
        <v>1.4E-2</v>
      </c>
      <c r="D172" s="349" t="s">
        <v>964</v>
      </c>
      <c r="E172" s="350"/>
      <c r="F172" s="351"/>
      <c r="G172" s="351">
        <f ca="1">'11.0시중노임'!F4</f>
        <v>92218</v>
      </c>
      <c r="H172" s="351">
        <f>INT(C172*G172)</f>
        <v>1291</v>
      </c>
      <c r="I172" s="351"/>
      <c r="J172" s="351"/>
      <c r="K172" s="352"/>
    </row>
    <row r="173" spans="1:11" s="347" customFormat="1" ht="15" customHeight="1">
      <c r="A173" s="348" t="s">
        <v>838</v>
      </c>
      <c r="B173" s="349"/>
      <c r="C173" s="350">
        <v>0.06</v>
      </c>
      <c r="D173" s="349" t="s">
        <v>964</v>
      </c>
      <c r="E173" s="350"/>
      <c r="F173" s="351"/>
      <c r="G173" s="351">
        <f ca="1">'11.0시중노임'!F5</f>
        <v>84404</v>
      </c>
      <c r="H173" s="351">
        <f>INT(C173*G173)</f>
        <v>5064</v>
      </c>
      <c r="I173" s="351"/>
      <c r="J173" s="351"/>
      <c r="K173" s="352"/>
    </row>
    <row r="174" spans="1:11" s="347" customFormat="1" ht="15" customHeight="1">
      <c r="A174" s="348" t="s">
        <v>848</v>
      </c>
      <c r="B174" s="349"/>
      <c r="C174" s="350">
        <v>1.4E-2</v>
      </c>
      <c r="D174" s="349" t="s">
        <v>964</v>
      </c>
      <c r="E174" s="350"/>
      <c r="F174" s="351"/>
      <c r="G174" s="351">
        <f ca="1">'11.0시중노임'!F12</f>
        <v>86521</v>
      </c>
      <c r="H174" s="351">
        <f>INT(C174*G174)</f>
        <v>1211</v>
      </c>
      <c r="I174" s="351"/>
      <c r="J174" s="351"/>
      <c r="K174" s="352"/>
    </row>
    <row r="175" spans="1:11" s="347" customFormat="1" ht="15" customHeight="1">
      <c r="A175" s="348" t="s">
        <v>839</v>
      </c>
      <c r="B175" s="349"/>
      <c r="C175" s="350">
        <v>0.12</v>
      </c>
      <c r="D175" s="349" t="s">
        <v>964</v>
      </c>
      <c r="E175" s="350"/>
      <c r="F175" s="351"/>
      <c r="G175" s="351">
        <f ca="1">'11.0시중노임'!F6</f>
        <v>68965</v>
      </c>
      <c r="H175" s="351">
        <f>INT(C175*G175)</f>
        <v>8275</v>
      </c>
      <c r="I175" s="351"/>
      <c r="J175" s="351"/>
      <c r="K175" s="352"/>
    </row>
    <row r="176" spans="1:11" s="347" customFormat="1" ht="15" customHeight="1">
      <c r="A176" s="348" t="s">
        <v>849</v>
      </c>
      <c r="B176" s="349"/>
      <c r="C176" s="350"/>
      <c r="D176" s="349"/>
      <c r="E176" s="350"/>
      <c r="F176" s="351">
        <f>INT(SUM(F161:F175))</f>
        <v>16199</v>
      </c>
      <c r="G176" s="351"/>
      <c r="H176" s="351">
        <f>INT(SUM(H161:H175))</f>
        <v>25747</v>
      </c>
      <c r="I176" s="351"/>
      <c r="J176" s="351">
        <f>INT(SUM(J161:J175))</f>
        <v>8819</v>
      </c>
      <c r="K176" s="352">
        <f>INT(SUM(F176:J176))</f>
        <v>50765</v>
      </c>
    </row>
    <row r="177" spans="1:11" s="347" customFormat="1" ht="15" customHeight="1">
      <c r="A177" s="363" t="s">
        <v>886</v>
      </c>
      <c r="B177" s="364"/>
      <c r="C177" s="364"/>
      <c r="D177" s="365"/>
      <c r="E177" s="364"/>
      <c r="F177" s="366">
        <f>F176+F159+F150+F142</f>
        <v>21294</v>
      </c>
      <c r="G177" s="366"/>
      <c r="H177" s="366">
        <f>H176+H159+H150+H142</f>
        <v>32273</v>
      </c>
      <c r="I177" s="366"/>
      <c r="J177" s="366">
        <f>J176+J159+J150+J142</f>
        <v>9041</v>
      </c>
      <c r="K177" s="367">
        <f>K176+K159+K150+K142</f>
        <v>62608</v>
      </c>
    </row>
    <row r="178" spans="1:11" s="347" customFormat="1" ht="15" customHeight="1">
      <c r="A178" s="342"/>
      <c r="B178" s="342"/>
      <c r="C178" s="342"/>
      <c r="D178" s="368"/>
      <c r="E178" s="342"/>
      <c r="F178" s="342"/>
      <c r="G178" s="1798" t="s">
        <v>687</v>
      </c>
      <c r="H178" s="1798"/>
      <c r="I178" s="1798"/>
      <c r="J178" s="1798"/>
      <c r="K178" s="1798"/>
    </row>
    <row r="179" spans="1:11" s="347" customFormat="1" ht="12.95" customHeight="1">
      <c r="A179" s="342"/>
      <c r="B179" s="342"/>
      <c r="C179" s="342"/>
      <c r="D179" s="368"/>
      <c r="E179" s="342"/>
      <c r="F179" s="342"/>
      <c r="G179" s="342"/>
      <c r="H179" s="342"/>
      <c r="I179" s="369"/>
      <c r="J179" s="342"/>
      <c r="K179" s="342"/>
    </row>
  </sheetData>
  <mergeCells count="36">
    <mergeCell ref="D90:D91"/>
    <mergeCell ref="B135:B136"/>
    <mergeCell ref="G178:K178"/>
    <mergeCell ref="E90:F90"/>
    <mergeCell ref="G90:H90"/>
    <mergeCell ref="I90:J90"/>
    <mergeCell ref="K90:K91"/>
    <mergeCell ref="E135:F135"/>
    <mergeCell ref="G135:H135"/>
    <mergeCell ref="A90:A91"/>
    <mergeCell ref="B90:B91"/>
    <mergeCell ref="C135:C136"/>
    <mergeCell ref="D135:D136"/>
    <mergeCell ref="G133:K133"/>
    <mergeCell ref="A134:K134"/>
    <mergeCell ref="A135:A136"/>
    <mergeCell ref="I135:J135"/>
    <mergeCell ref="K135:K136"/>
    <mergeCell ref="C90:C91"/>
    <mergeCell ref="C19:H19"/>
    <mergeCell ref="A44:K44"/>
    <mergeCell ref="D21:E21"/>
    <mergeCell ref="F21:G21"/>
    <mergeCell ref="F22:G22"/>
    <mergeCell ref="F23:G23"/>
    <mergeCell ref="F24:G24"/>
    <mergeCell ref="G88:K88"/>
    <mergeCell ref="A89:K89"/>
    <mergeCell ref="I45:J45"/>
    <mergeCell ref="K45:K46"/>
    <mergeCell ref="D45:D46"/>
    <mergeCell ref="E45:F45"/>
    <mergeCell ref="G45:H45"/>
    <mergeCell ref="A45:A46"/>
    <mergeCell ref="B45:B46"/>
    <mergeCell ref="C45:C4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pageOrder="overThenDown" orientation="portrait" horizontalDpi="4294967294" verticalDpi="300" r:id="rId1"/>
  <headerFooter alignWithMargins="0"/>
  <drawing r:id="rId2"/>
  <legacyDrawing r:id="rId3"/>
</worksheet>
</file>

<file path=xl/worksheets/sheet67.xml><?xml version="1.0" encoding="utf-8"?>
<worksheet xmlns="http://schemas.openxmlformats.org/spreadsheetml/2006/main" xmlns:r="http://schemas.openxmlformats.org/officeDocument/2006/relationships">
  <sheetPr codeName="Sheet10"/>
  <dimension ref="A1:K120"/>
  <sheetViews>
    <sheetView topLeftCell="A22" workbookViewId="0">
      <selection activeCell="P6" sqref="P6"/>
    </sheetView>
  </sheetViews>
  <sheetFormatPr defaultRowHeight="12"/>
  <cols>
    <col min="1" max="1" width="13.6640625" style="156" customWidth="1"/>
    <col min="2" max="2" width="13.6640625" style="154" customWidth="1"/>
    <col min="3" max="3" width="4.44140625" style="156" bestFit="1" customWidth="1"/>
    <col min="4" max="4" width="8.44140625" style="156" bestFit="1" customWidth="1"/>
    <col min="5" max="5" width="5.21875" style="156" bestFit="1" customWidth="1"/>
    <col min="6" max="6" width="8.44140625" style="156" bestFit="1" customWidth="1"/>
    <col min="7" max="7" width="4.77734375" style="156" bestFit="1" customWidth="1"/>
    <col min="8" max="8" width="7.5546875" style="156" bestFit="1" customWidth="1"/>
    <col min="9" max="10" width="8.33203125" style="154" customWidth="1"/>
    <col min="11" max="11" width="12.21875" style="154" customWidth="1"/>
    <col min="12" max="16384" width="8.88671875" style="154"/>
  </cols>
  <sheetData>
    <row r="1" spans="1:11" ht="37.5" customHeight="1">
      <c r="A1" s="1897" t="s">
        <v>1036</v>
      </c>
      <c r="B1" s="1897"/>
      <c r="C1" s="1897"/>
      <c r="D1" s="1897"/>
      <c r="E1" s="1897"/>
      <c r="F1" s="1897"/>
      <c r="G1" s="1897"/>
      <c r="H1" s="1897"/>
      <c r="I1" s="1897"/>
      <c r="J1" s="1897"/>
    </row>
    <row r="2" spans="1:11" ht="15" customHeight="1">
      <c r="A2" s="1903" t="s">
        <v>891</v>
      </c>
      <c r="B2" s="1810" t="s">
        <v>892</v>
      </c>
      <c r="C2" s="1810" t="s">
        <v>983</v>
      </c>
      <c r="D2" s="1902" t="s">
        <v>1585</v>
      </c>
      <c r="E2" s="1902"/>
      <c r="F2" s="1902"/>
      <c r="G2" s="1902"/>
      <c r="H2" s="1902"/>
      <c r="I2" s="1810" t="s">
        <v>903</v>
      </c>
      <c r="J2" s="1811" t="s">
        <v>893</v>
      </c>
    </row>
    <row r="3" spans="1:11" ht="15" customHeight="1">
      <c r="A3" s="1904"/>
      <c r="B3" s="1898"/>
      <c r="C3" s="1898"/>
      <c r="D3" s="1906" t="s">
        <v>1584</v>
      </c>
      <c r="E3" s="1906"/>
      <c r="F3" s="1906" t="s">
        <v>1586</v>
      </c>
      <c r="G3" s="1906"/>
      <c r="H3" s="291" t="s">
        <v>904</v>
      </c>
      <c r="I3" s="1898"/>
      <c r="J3" s="1900"/>
    </row>
    <row r="4" spans="1:11" s="156" customFormat="1" ht="15" customHeight="1">
      <c r="A4" s="1905"/>
      <c r="B4" s="1899"/>
      <c r="C4" s="1899"/>
      <c r="D4" s="292" t="s">
        <v>925</v>
      </c>
      <c r="E4" s="293" t="s">
        <v>926</v>
      </c>
      <c r="F4" s="292" t="s">
        <v>925</v>
      </c>
      <c r="G4" s="294" t="s">
        <v>926</v>
      </c>
      <c r="H4" s="292" t="s">
        <v>925</v>
      </c>
      <c r="I4" s="1899"/>
      <c r="J4" s="1901"/>
      <c r="K4" s="155"/>
    </row>
    <row r="5" spans="1:11" ht="21.95" customHeight="1">
      <c r="A5" s="272" t="s">
        <v>984</v>
      </c>
      <c r="B5" s="273"/>
      <c r="C5" s="274" t="s">
        <v>985</v>
      </c>
      <c r="D5" s="274"/>
      <c r="E5" s="274"/>
      <c r="F5" s="274"/>
      <c r="G5" s="274"/>
      <c r="H5" s="275"/>
      <c r="I5" s="275">
        <v>1257.5</v>
      </c>
      <c r="J5" s="1894" t="s">
        <v>1601</v>
      </c>
      <c r="K5" s="157"/>
    </row>
    <row r="6" spans="1:11" ht="21.95" customHeight="1">
      <c r="A6" s="269" t="s">
        <v>986</v>
      </c>
      <c r="B6" s="110"/>
      <c r="C6" s="276" t="s">
        <v>987</v>
      </c>
      <c r="D6" s="277">
        <f>TRUNC(1514/1.1,3)</f>
        <v>1376.3630000000001</v>
      </c>
      <c r="E6" s="276">
        <v>1255</v>
      </c>
      <c r="F6" s="277"/>
      <c r="G6" s="276"/>
      <c r="H6" s="277"/>
      <c r="I6" s="277">
        <v>1114</v>
      </c>
      <c r="J6" s="1895"/>
      <c r="K6" s="157"/>
    </row>
    <row r="7" spans="1:11" ht="21.95" customHeight="1">
      <c r="A7" s="269" t="s">
        <v>988</v>
      </c>
      <c r="B7" s="110"/>
      <c r="C7" s="276" t="s">
        <v>987</v>
      </c>
      <c r="D7" s="277">
        <f>TRUNC(1313/1.1,3)</f>
        <v>1193.636</v>
      </c>
      <c r="E7" s="276">
        <f>E6</f>
        <v>1255</v>
      </c>
      <c r="F7" s="277"/>
      <c r="G7" s="276"/>
      <c r="H7" s="277"/>
      <c r="I7" s="277">
        <v>1085</v>
      </c>
      <c r="J7" s="1896"/>
      <c r="K7" s="157"/>
    </row>
    <row r="8" spans="1:11" ht="21.95" customHeight="1">
      <c r="A8" s="269" t="s">
        <v>1580</v>
      </c>
      <c r="B8" s="110" t="s">
        <v>894</v>
      </c>
      <c r="C8" s="276" t="s">
        <v>987</v>
      </c>
      <c r="D8" s="279">
        <v>150</v>
      </c>
      <c r="E8" s="276">
        <v>287</v>
      </c>
      <c r="F8" s="279"/>
      <c r="G8" s="276"/>
      <c r="H8" s="279"/>
      <c r="I8" s="279">
        <f t="shared" ref="I8:I39" si="0">MIN(D8,F8,H8)</f>
        <v>150</v>
      </c>
      <c r="J8" s="278"/>
      <c r="K8" s="157"/>
    </row>
    <row r="9" spans="1:11" ht="21.95" customHeight="1">
      <c r="A9" s="269" t="s">
        <v>1581</v>
      </c>
      <c r="B9" s="110" t="s">
        <v>895</v>
      </c>
      <c r="C9" s="276" t="s">
        <v>987</v>
      </c>
      <c r="D9" s="279">
        <v>170</v>
      </c>
      <c r="E9" s="276">
        <f>E8</f>
        <v>287</v>
      </c>
      <c r="F9" s="279"/>
      <c r="G9" s="276"/>
      <c r="H9" s="279"/>
      <c r="I9" s="279">
        <f t="shared" si="0"/>
        <v>170</v>
      </c>
      <c r="J9" s="278"/>
    </row>
    <row r="10" spans="1:11" ht="21.95" customHeight="1">
      <c r="A10" s="269" t="s">
        <v>1582</v>
      </c>
      <c r="B10" s="110" t="s">
        <v>896</v>
      </c>
      <c r="C10" s="276" t="s">
        <v>897</v>
      </c>
      <c r="D10" s="279">
        <v>200</v>
      </c>
      <c r="E10" s="276">
        <f t="shared" ref="E10:E20" si="1">E9</f>
        <v>287</v>
      </c>
      <c r="F10" s="279"/>
      <c r="G10" s="276"/>
      <c r="H10" s="279"/>
      <c r="I10" s="279">
        <f t="shared" si="0"/>
        <v>200</v>
      </c>
      <c r="J10" s="278"/>
    </row>
    <row r="11" spans="1:11" ht="21.95" customHeight="1">
      <c r="A11" s="269" t="s">
        <v>1583</v>
      </c>
      <c r="B11" s="110" t="s">
        <v>898</v>
      </c>
      <c r="C11" s="276" t="s">
        <v>897</v>
      </c>
      <c r="D11" s="280">
        <v>1000</v>
      </c>
      <c r="E11" s="276">
        <f t="shared" si="1"/>
        <v>287</v>
      </c>
      <c r="F11" s="280"/>
      <c r="G11" s="276"/>
      <c r="H11" s="280"/>
      <c r="I11" s="279">
        <f t="shared" si="0"/>
        <v>1000</v>
      </c>
      <c r="J11" s="278"/>
    </row>
    <row r="12" spans="1:11" ht="21.95" customHeight="1">
      <c r="A12" s="269" t="s">
        <v>899</v>
      </c>
      <c r="B12" s="110" t="s">
        <v>1373</v>
      </c>
      <c r="C12" s="276" t="s">
        <v>900</v>
      </c>
      <c r="D12" s="280">
        <v>20</v>
      </c>
      <c r="E12" s="276">
        <f>E9</f>
        <v>287</v>
      </c>
      <c r="F12" s="280"/>
      <c r="G12" s="276"/>
      <c r="H12" s="280"/>
      <c r="I12" s="279">
        <f t="shared" si="0"/>
        <v>20</v>
      </c>
      <c r="J12" s="278"/>
    </row>
    <row r="13" spans="1:11" ht="21.95" customHeight="1">
      <c r="A13" s="269" t="s">
        <v>899</v>
      </c>
      <c r="B13" s="110" t="s">
        <v>1374</v>
      </c>
      <c r="C13" s="276" t="s">
        <v>900</v>
      </c>
      <c r="D13" s="280">
        <v>100</v>
      </c>
      <c r="E13" s="276">
        <f>E10</f>
        <v>287</v>
      </c>
      <c r="F13" s="280"/>
      <c r="G13" s="276"/>
      <c r="H13" s="280"/>
      <c r="I13" s="279">
        <f>MIN(D13,F13,H13)</f>
        <v>100</v>
      </c>
      <c r="J13" s="278"/>
    </row>
    <row r="14" spans="1:11" ht="21.95" customHeight="1">
      <c r="A14" s="269" t="s">
        <v>899</v>
      </c>
      <c r="B14" s="110" t="s">
        <v>1375</v>
      </c>
      <c r="C14" s="276" t="s">
        <v>900</v>
      </c>
      <c r="D14" s="280">
        <v>80</v>
      </c>
      <c r="E14" s="276">
        <f>E11</f>
        <v>287</v>
      </c>
      <c r="F14" s="280"/>
      <c r="G14" s="276"/>
      <c r="H14" s="280"/>
      <c r="I14" s="279">
        <f t="shared" si="0"/>
        <v>80</v>
      </c>
      <c r="J14" s="278"/>
    </row>
    <row r="15" spans="1:11" ht="21.95" customHeight="1">
      <c r="A15" s="269" t="s">
        <v>899</v>
      </c>
      <c r="B15" s="110" t="s">
        <v>1376</v>
      </c>
      <c r="C15" s="276" t="s">
        <v>900</v>
      </c>
      <c r="D15" s="280">
        <v>150</v>
      </c>
      <c r="E15" s="276">
        <f>E14</f>
        <v>287</v>
      </c>
      <c r="F15" s="280"/>
      <c r="G15" s="276"/>
      <c r="H15" s="280"/>
      <c r="I15" s="279">
        <f>MIN(D15,F15,H15)</f>
        <v>150</v>
      </c>
      <c r="J15" s="278"/>
    </row>
    <row r="16" spans="1:11" ht="21.95" customHeight="1">
      <c r="A16" s="269" t="s">
        <v>1381</v>
      </c>
      <c r="B16" s="110" t="s">
        <v>1380</v>
      </c>
      <c r="C16" s="276" t="s">
        <v>901</v>
      </c>
      <c r="D16" s="281">
        <v>500</v>
      </c>
      <c r="E16" s="276">
        <f>E15</f>
        <v>287</v>
      </c>
      <c r="F16" s="276"/>
      <c r="G16" s="276"/>
      <c r="H16" s="280"/>
      <c r="I16" s="279">
        <f t="shared" si="0"/>
        <v>500</v>
      </c>
      <c r="J16" s="278"/>
    </row>
    <row r="17" spans="1:10" ht="21.95" customHeight="1">
      <c r="A17" s="269" t="s">
        <v>1377</v>
      </c>
      <c r="B17" s="110" t="s">
        <v>1040</v>
      </c>
      <c r="C17" s="276" t="s">
        <v>901</v>
      </c>
      <c r="D17" s="281">
        <v>900</v>
      </c>
      <c r="E17" s="276">
        <f t="shared" si="1"/>
        <v>287</v>
      </c>
      <c r="F17" s="276"/>
      <c r="G17" s="276"/>
      <c r="H17" s="280"/>
      <c r="I17" s="279">
        <f t="shared" si="0"/>
        <v>900</v>
      </c>
      <c r="J17" s="278"/>
    </row>
    <row r="18" spans="1:10" ht="21.95" customHeight="1">
      <c r="A18" s="282" t="s">
        <v>882</v>
      </c>
      <c r="B18" s="139" t="s">
        <v>1041</v>
      </c>
      <c r="C18" s="283" t="s">
        <v>869</v>
      </c>
      <c r="D18" s="284">
        <v>1500</v>
      </c>
      <c r="E18" s="276">
        <f t="shared" si="1"/>
        <v>287</v>
      </c>
      <c r="F18" s="283"/>
      <c r="G18" s="283"/>
      <c r="H18" s="284"/>
      <c r="I18" s="306">
        <f t="shared" si="0"/>
        <v>1500</v>
      </c>
      <c r="J18" s="278"/>
    </row>
    <row r="19" spans="1:10" ht="21.95" customHeight="1">
      <c r="A19" s="282" t="s">
        <v>1086</v>
      </c>
      <c r="B19" s="139" t="s">
        <v>1042</v>
      </c>
      <c r="C19" s="283" t="s">
        <v>869</v>
      </c>
      <c r="D19" s="284">
        <v>2210</v>
      </c>
      <c r="E19" s="276">
        <f t="shared" si="1"/>
        <v>287</v>
      </c>
      <c r="F19" s="283"/>
      <c r="G19" s="283"/>
      <c r="H19" s="284"/>
      <c r="I19" s="306">
        <f t="shared" si="0"/>
        <v>2210</v>
      </c>
      <c r="J19" s="278"/>
    </row>
    <row r="20" spans="1:10" ht="21.95" customHeight="1">
      <c r="A20" s="282" t="s">
        <v>1020</v>
      </c>
      <c r="B20" s="110" t="s">
        <v>1021</v>
      </c>
      <c r="C20" s="276" t="s">
        <v>1022</v>
      </c>
      <c r="D20" s="281">
        <v>150</v>
      </c>
      <c r="E20" s="276">
        <f t="shared" si="1"/>
        <v>287</v>
      </c>
      <c r="F20" s="276"/>
      <c r="G20" s="276"/>
      <c r="H20" s="281"/>
      <c r="I20" s="279">
        <f t="shared" si="0"/>
        <v>150</v>
      </c>
      <c r="J20" s="278"/>
    </row>
    <row r="21" spans="1:10" ht="21.95" customHeight="1">
      <c r="A21" s="269" t="s">
        <v>1577</v>
      </c>
      <c r="B21" s="110" t="s">
        <v>1578</v>
      </c>
      <c r="C21" s="276" t="s">
        <v>1053</v>
      </c>
      <c r="D21" s="281">
        <v>220</v>
      </c>
      <c r="E21" s="276">
        <v>290</v>
      </c>
      <c r="F21" s="380"/>
      <c r="G21" s="276"/>
      <c r="H21" s="280"/>
      <c r="I21" s="279">
        <f t="shared" si="0"/>
        <v>220</v>
      </c>
      <c r="J21" s="278" t="s">
        <v>1587</v>
      </c>
    </row>
    <row r="22" spans="1:10" ht="21.95" customHeight="1">
      <c r="A22" s="269" t="s">
        <v>1087</v>
      </c>
      <c r="B22" s="110" t="s">
        <v>1088</v>
      </c>
      <c r="C22" s="276" t="s">
        <v>1089</v>
      </c>
      <c r="D22" s="281">
        <v>900</v>
      </c>
      <c r="E22" s="276">
        <v>290</v>
      </c>
      <c r="F22" s="380"/>
      <c r="G22" s="276"/>
      <c r="H22" s="281"/>
      <c r="I22" s="279">
        <f t="shared" si="0"/>
        <v>900</v>
      </c>
      <c r="J22" s="278" t="s">
        <v>1587</v>
      </c>
    </row>
    <row r="23" spans="1:10" ht="21.95" customHeight="1">
      <c r="A23" s="269" t="s">
        <v>1091</v>
      </c>
      <c r="B23" s="110" t="s">
        <v>1090</v>
      </c>
      <c r="C23" s="276" t="s">
        <v>842</v>
      </c>
      <c r="D23" s="281">
        <v>5</v>
      </c>
      <c r="E23" s="276">
        <v>290</v>
      </c>
      <c r="F23" s="380"/>
      <c r="G23" s="276"/>
      <c r="H23" s="281"/>
      <c r="I23" s="279">
        <f t="shared" si="0"/>
        <v>5</v>
      </c>
      <c r="J23" s="278" t="s">
        <v>1588</v>
      </c>
    </row>
    <row r="24" spans="1:10" ht="21.95" customHeight="1">
      <c r="A24" s="269" t="s">
        <v>1092</v>
      </c>
      <c r="B24" s="110" t="s">
        <v>1093</v>
      </c>
      <c r="C24" s="276" t="s">
        <v>842</v>
      </c>
      <c r="D24" s="307">
        <f>ROUND(21000/20/1000,2)</f>
        <v>1.05</v>
      </c>
      <c r="E24" s="276">
        <v>1248</v>
      </c>
      <c r="F24" s="380"/>
      <c r="G24" s="276"/>
      <c r="H24" s="281" t="s">
        <v>902</v>
      </c>
      <c r="I24" s="277">
        <f t="shared" si="0"/>
        <v>1.05</v>
      </c>
      <c r="J24" s="278" t="s">
        <v>1590</v>
      </c>
    </row>
    <row r="25" spans="1:10" ht="21.95" customHeight="1">
      <c r="A25" s="269" t="s">
        <v>1094</v>
      </c>
      <c r="B25" s="110" t="s">
        <v>1096</v>
      </c>
      <c r="C25" s="276" t="s">
        <v>842</v>
      </c>
      <c r="D25" s="575">
        <f>ROUND(30000/22.68/1000,1)</f>
        <v>1.3</v>
      </c>
      <c r="E25" s="276">
        <v>1184</v>
      </c>
      <c r="F25" s="380"/>
      <c r="G25" s="276"/>
      <c r="H25" s="575">
        <f>ROUND(15000/22.68/1000,1)</f>
        <v>0.7</v>
      </c>
      <c r="I25" s="277">
        <f t="shared" si="0"/>
        <v>0.7</v>
      </c>
      <c r="J25" s="278" t="s">
        <v>1650</v>
      </c>
    </row>
    <row r="26" spans="1:10" ht="21.95" customHeight="1">
      <c r="A26" s="269" t="s">
        <v>1095</v>
      </c>
      <c r="B26" s="110" t="s">
        <v>1099</v>
      </c>
      <c r="C26" s="276" t="s">
        <v>842</v>
      </c>
      <c r="D26" s="284">
        <v>2</v>
      </c>
      <c r="E26" s="276">
        <v>290</v>
      </c>
      <c r="F26" s="380"/>
      <c r="G26" s="276"/>
      <c r="H26" s="281"/>
      <c r="I26" s="279">
        <f t="shared" si="0"/>
        <v>2</v>
      </c>
      <c r="J26" s="278" t="s">
        <v>1587</v>
      </c>
    </row>
    <row r="27" spans="1:10" ht="21.95" customHeight="1">
      <c r="A27" s="269" t="s">
        <v>1097</v>
      </c>
      <c r="B27" s="110" t="s">
        <v>1098</v>
      </c>
      <c r="C27" s="276" t="s">
        <v>842</v>
      </c>
      <c r="D27" s="575">
        <f>ROUND(350000/25/1000,0)</f>
        <v>14</v>
      </c>
      <c r="E27" s="276">
        <v>290</v>
      </c>
      <c r="F27" s="380"/>
      <c r="G27" s="276"/>
      <c r="H27" s="281"/>
      <c r="I27" s="279">
        <f t="shared" si="0"/>
        <v>14</v>
      </c>
      <c r="J27" s="278" t="s">
        <v>1588</v>
      </c>
    </row>
    <row r="28" spans="1:10" ht="21.95" customHeight="1">
      <c r="A28" s="269" t="s">
        <v>1161</v>
      </c>
      <c r="B28" s="110"/>
      <c r="C28" s="276" t="s">
        <v>1163</v>
      </c>
      <c r="D28" s="281">
        <v>300</v>
      </c>
      <c r="E28" s="276">
        <v>286</v>
      </c>
      <c r="F28" s="380"/>
      <c r="G28" s="276"/>
      <c r="H28" s="281" t="s">
        <v>902</v>
      </c>
      <c r="I28" s="279">
        <f t="shared" si="0"/>
        <v>300</v>
      </c>
      <c r="J28" s="278" t="s">
        <v>1589</v>
      </c>
    </row>
    <row r="29" spans="1:10" ht="21.95" customHeight="1">
      <c r="A29" s="269" t="s">
        <v>1591</v>
      </c>
      <c r="B29" s="110"/>
      <c r="C29" s="276" t="s">
        <v>1256</v>
      </c>
      <c r="D29" s="281">
        <v>90000</v>
      </c>
      <c r="E29" s="276">
        <v>286</v>
      </c>
      <c r="F29" s="380"/>
      <c r="G29" s="276"/>
      <c r="H29" s="281"/>
      <c r="I29" s="279">
        <f t="shared" si="0"/>
        <v>90000</v>
      </c>
      <c r="J29" s="278" t="s">
        <v>1599</v>
      </c>
    </row>
    <row r="30" spans="1:10" ht="21.95" customHeight="1">
      <c r="A30" s="269" t="s">
        <v>1592</v>
      </c>
      <c r="B30" s="110" t="s">
        <v>1596</v>
      </c>
      <c r="C30" s="276" t="s">
        <v>1598</v>
      </c>
      <c r="D30" s="281">
        <v>8000</v>
      </c>
      <c r="E30" s="276">
        <f>E29</f>
        <v>286</v>
      </c>
      <c r="F30" s="380"/>
      <c r="G30" s="276"/>
      <c r="H30" s="281"/>
      <c r="I30" s="279">
        <f t="shared" si="0"/>
        <v>8000</v>
      </c>
      <c r="J30" s="278" t="str">
        <f>J29</f>
        <v>목도</v>
      </c>
    </row>
    <row r="31" spans="1:10" ht="21.95" customHeight="1">
      <c r="A31" s="269" t="s">
        <v>1593</v>
      </c>
      <c r="B31" s="573" t="s">
        <v>731</v>
      </c>
      <c r="C31" s="276" t="s">
        <v>1014</v>
      </c>
      <c r="D31" s="281">
        <v>1200</v>
      </c>
      <c r="E31" s="276">
        <f>E30</f>
        <v>286</v>
      </c>
      <c r="F31" s="380"/>
      <c r="G31" s="276"/>
      <c r="H31" s="281"/>
      <c r="I31" s="279">
        <f t="shared" si="0"/>
        <v>1200</v>
      </c>
      <c r="J31" s="278" t="str">
        <f>J30</f>
        <v>목도</v>
      </c>
    </row>
    <row r="32" spans="1:10" ht="21.95" customHeight="1">
      <c r="A32" s="269" t="s">
        <v>1595</v>
      </c>
      <c r="B32" s="573" t="s">
        <v>734</v>
      </c>
      <c r="C32" s="276" t="s">
        <v>1014</v>
      </c>
      <c r="D32" s="281">
        <v>900</v>
      </c>
      <c r="E32" s="276">
        <f>E31</f>
        <v>286</v>
      </c>
      <c r="F32" s="380"/>
      <c r="G32" s="276"/>
      <c r="H32" s="281"/>
      <c r="I32" s="279">
        <f t="shared" si="0"/>
        <v>900</v>
      </c>
      <c r="J32" s="278" t="str">
        <f>J31</f>
        <v>목도</v>
      </c>
    </row>
    <row r="33" spans="1:10" ht="21.95" customHeight="1">
      <c r="A33" s="269" t="s">
        <v>1594</v>
      </c>
      <c r="B33" s="110" t="s">
        <v>1597</v>
      </c>
      <c r="C33" s="276" t="s">
        <v>1014</v>
      </c>
      <c r="D33" s="281">
        <v>600</v>
      </c>
      <c r="E33" s="276">
        <f>E32</f>
        <v>286</v>
      </c>
      <c r="F33" s="380"/>
      <c r="G33" s="276"/>
      <c r="H33" s="281"/>
      <c r="I33" s="279">
        <f t="shared" si="0"/>
        <v>600</v>
      </c>
      <c r="J33" s="278" t="str">
        <f>J32</f>
        <v>목도</v>
      </c>
    </row>
    <row r="34" spans="1:10" ht="21.95" customHeight="1">
      <c r="A34" s="269" t="s">
        <v>1600</v>
      </c>
      <c r="B34" s="573" t="s">
        <v>740</v>
      </c>
      <c r="C34" s="276" t="s">
        <v>1022</v>
      </c>
      <c r="D34" s="281">
        <v>880</v>
      </c>
      <c r="E34" s="276">
        <v>67</v>
      </c>
      <c r="F34" s="380"/>
      <c r="G34" s="276"/>
      <c r="H34" s="281"/>
      <c r="I34" s="279">
        <f t="shared" si="0"/>
        <v>880</v>
      </c>
      <c r="J34" s="278"/>
    </row>
    <row r="35" spans="1:10" ht="21.95" customHeight="1">
      <c r="A35" s="269" t="s">
        <v>1164</v>
      </c>
      <c r="B35" s="110" t="s">
        <v>1165</v>
      </c>
      <c r="C35" s="276" t="s">
        <v>1167</v>
      </c>
      <c r="D35" s="281"/>
      <c r="E35" s="276"/>
      <c r="F35" s="281"/>
      <c r="G35" s="276"/>
      <c r="H35" s="281">
        <v>280</v>
      </c>
      <c r="I35" s="279">
        <f t="shared" si="0"/>
        <v>280</v>
      </c>
      <c r="J35" s="278" t="s">
        <v>1168</v>
      </c>
    </row>
    <row r="36" spans="1:10" ht="21.95" customHeight="1">
      <c r="A36" s="269" t="s">
        <v>1164</v>
      </c>
      <c r="B36" s="110" t="s">
        <v>1222</v>
      </c>
      <c r="C36" s="276" t="s">
        <v>1167</v>
      </c>
      <c r="D36" s="281"/>
      <c r="E36" s="276"/>
      <c r="F36" s="281"/>
      <c r="G36" s="276"/>
      <c r="H36" s="281">
        <v>950</v>
      </c>
      <c r="I36" s="279">
        <f>MIN(D36,F36,H36)</f>
        <v>950</v>
      </c>
      <c r="J36" s="278"/>
    </row>
    <row r="37" spans="1:10" ht="21.95" customHeight="1">
      <c r="A37" s="269" t="s">
        <v>1169</v>
      </c>
      <c r="B37" s="110"/>
      <c r="C37" s="276" t="s">
        <v>1022</v>
      </c>
      <c r="D37" s="281"/>
      <c r="E37" s="276"/>
      <c r="F37" s="281"/>
      <c r="G37" s="276"/>
      <c r="H37" s="281">
        <v>30</v>
      </c>
      <c r="I37" s="279">
        <f t="shared" si="0"/>
        <v>30</v>
      </c>
      <c r="J37" s="278" t="s">
        <v>1168</v>
      </c>
    </row>
    <row r="38" spans="1:10" ht="21.95" customHeight="1">
      <c r="A38" s="378" t="s">
        <v>1224</v>
      </c>
      <c r="B38" s="383" t="s">
        <v>1225</v>
      </c>
      <c r="C38" s="379" t="s">
        <v>1014</v>
      </c>
      <c r="D38" s="380"/>
      <c r="E38" s="379"/>
      <c r="F38" s="379"/>
      <c r="G38" s="379"/>
      <c r="H38" s="380">
        <v>2500</v>
      </c>
      <c r="I38" s="279">
        <f t="shared" si="0"/>
        <v>2500</v>
      </c>
      <c r="J38" s="382" t="s">
        <v>1227</v>
      </c>
    </row>
    <row r="39" spans="1:10" ht="21.95" customHeight="1">
      <c r="A39" s="378" t="s">
        <v>1224</v>
      </c>
      <c r="B39" s="383" t="s">
        <v>1226</v>
      </c>
      <c r="C39" s="379" t="s">
        <v>1014</v>
      </c>
      <c r="D39" s="380"/>
      <c r="E39" s="379"/>
      <c r="F39" s="379"/>
      <c r="G39" s="379"/>
      <c r="H39" s="380">
        <v>3800</v>
      </c>
      <c r="I39" s="279">
        <f t="shared" si="0"/>
        <v>3800</v>
      </c>
      <c r="J39" s="382" t="s">
        <v>1227</v>
      </c>
    </row>
    <row r="40" spans="1:10" ht="21.95" customHeight="1">
      <c r="A40" s="378" t="s">
        <v>1228</v>
      </c>
      <c r="B40" s="383" t="s">
        <v>1229</v>
      </c>
      <c r="C40" s="379" t="s">
        <v>1014</v>
      </c>
      <c r="D40" s="380"/>
      <c r="E40" s="379"/>
      <c r="F40" s="379"/>
      <c r="G40" s="379"/>
      <c r="H40" s="380">
        <v>1000</v>
      </c>
      <c r="I40" s="279">
        <f t="shared" ref="I40:I52" si="2">MIN(D40,F40,H40)</f>
        <v>1000</v>
      </c>
      <c r="J40" s="382" t="s">
        <v>1227</v>
      </c>
    </row>
    <row r="41" spans="1:10" ht="21.95" customHeight="1">
      <c r="A41" s="378" t="s">
        <v>1230</v>
      </c>
      <c r="B41" s="383" t="s">
        <v>1231</v>
      </c>
      <c r="C41" s="379" t="s">
        <v>1014</v>
      </c>
      <c r="D41" s="380"/>
      <c r="E41" s="379"/>
      <c r="F41" s="379"/>
      <c r="G41" s="379"/>
      <c r="H41" s="380">
        <v>110</v>
      </c>
      <c r="I41" s="381">
        <f t="shared" si="2"/>
        <v>110</v>
      </c>
      <c r="J41" s="382" t="s">
        <v>1227</v>
      </c>
    </row>
    <row r="42" spans="1:10" ht="21.95" customHeight="1">
      <c r="A42" s="378" t="s">
        <v>1552</v>
      </c>
      <c r="B42" s="383"/>
      <c r="C42" s="379" t="s">
        <v>1553</v>
      </c>
      <c r="D42" s="380"/>
      <c r="E42" s="379"/>
      <c r="F42" s="379"/>
      <c r="G42" s="379"/>
      <c r="H42" s="380">
        <v>55000</v>
      </c>
      <c r="I42" s="381">
        <f t="shared" si="2"/>
        <v>55000</v>
      </c>
      <c r="J42" s="382" t="s">
        <v>1227</v>
      </c>
    </row>
    <row r="43" spans="1:10" ht="21.95" customHeight="1">
      <c r="A43" s="378" t="s">
        <v>1554</v>
      </c>
      <c r="B43" s="383" t="s">
        <v>1555</v>
      </c>
      <c r="C43" s="379" t="s">
        <v>842</v>
      </c>
      <c r="D43" s="380"/>
      <c r="E43" s="379"/>
      <c r="F43" s="379"/>
      <c r="G43" s="379"/>
      <c r="H43" s="380">
        <v>10</v>
      </c>
      <c r="I43" s="381">
        <f t="shared" si="2"/>
        <v>10</v>
      </c>
      <c r="J43" s="382" t="s">
        <v>1227</v>
      </c>
    </row>
    <row r="44" spans="1:10" ht="21.95" customHeight="1">
      <c r="A44" s="378" t="s">
        <v>1556</v>
      </c>
      <c r="B44" s="383" t="s">
        <v>1557</v>
      </c>
      <c r="C44" s="379" t="s">
        <v>1014</v>
      </c>
      <c r="D44" s="380"/>
      <c r="E44" s="379"/>
      <c r="F44" s="379"/>
      <c r="G44" s="379"/>
      <c r="H44" s="380">
        <v>830</v>
      </c>
      <c r="I44" s="279">
        <f t="shared" si="2"/>
        <v>830</v>
      </c>
      <c r="J44" s="382" t="s">
        <v>1227</v>
      </c>
    </row>
    <row r="45" spans="1:10" ht="21.95" customHeight="1">
      <c r="A45" s="378" t="s">
        <v>1556</v>
      </c>
      <c r="B45" s="383" t="s">
        <v>1558</v>
      </c>
      <c r="C45" s="379" t="s">
        <v>1014</v>
      </c>
      <c r="D45" s="380"/>
      <c r="E45" s="379"/>
      <c r="F45" s="379"/>
      <c r="G45" s="379"/>
      <c r="H45" s="380">
        <v>660</v>
      </c>
      <c r="I45" s="279">
        <f t="shared" si="2"/>
        <v>660</v>
      </c>
      <c r="J45" s="382" t="s">
        <v>1227</v>
      </c>
    </row>
    <row r="46" spans="1:10" ht="21.95" customHeight="1">
      <c r="A46" s="378" t="s">
        <v>1559</v>
      </c>
      <c r="B46" s="383" t="s">
        <v>1560</v>
      </c>
      <c r="C46" s="379" t="s">
        <v>1089</v>
      </c>
      <c r="D46" s="380"/>
      <c r="E46" s="379"/>
      <c r="F46" s="379"/>
      <c r="G46" s="379"/>
      <c r="H46" s="380">
        <v>2970</v>
      </c>
      <c r="I46" s="279">
        <f t="shared" si="2"/>
        <v>2970</v>
      </c>
      <c r="J46" s="382" t="s">
        <v>1227</v>
      </c>
    </row>
    <row r="47" spans="1:10" ht="21.95" customHeight="1">
      <c r="A47" s="378" t="s">
        <v>1562</v>
      </c>
      <c r="B47" s="383" t="s">
        <v>1561</v>
      </c>
      <c r="C47" s="379" t="s">
        <v>741</v>
      </c>
      <c r="D47" s="380"/>
      <c r="E47" s="379"/>
      <c r="F47" s="379"/>
      <c r="G47" s="379"/>
      <c r="H47" s="380">
        <v>150</v>
      </c>
      <c r="I47" s="279">
        <f t="shared" si="2"/>
        <v>150</v>
      </c>
      <c r="J47" s="382" t="s">
        <v>1227</v>
      </c>
    </row>
    <row r="48" spans="1:10" ht="21.95" customHeight="1">
      <c r="A48" s="378" t="s">
        <v>1612</v>
      </c>
      <c r="B48" s="383" t="s">
        <v>1613</v>
      </c>
      <c r="C48" s="379" t="s">
        <v>811</v>
      </c>
      <c r="D48" s="380"/>
      <c r="E48" s="379"/>
      <c r="F48" s="379"/>
      <c r="G48" s="379"/>
      <c r="H48" s="380">
        <v>120000</v>
      </c>
      <c r="I48" s="381">
        <f t="shared" si="2"/>
        <v>120000</v>
      </c>
      <c r="J48" s="382" t="s">
        <v>1614</v>
      </c>
    </row>
    <row r="49" spans="1:10" ht="21.95" customHeight="1">
      <c r="A49" s="378" t="s">
        <v>1615</v>
      </c>
      <c r="B49" s="383" t="s">
        <v>1616</v>
      </c>
      <c r="C49" s="379" t="s">
        <v>811</v>
      </c>
      <c r="D49" s="380"/>
      <c r="E49" s="379"/>
      <c r="F49" s="379"/>
      <c r="G49" s="379"/>
      <c r="H49" s="380">
        <v>12000</v>
      </c>
      <c r="I49" s="381">
        <f t="shared" si="2"/>
        <v>12000</v>
      </c>
      <c r="J49" s="382" t="s">
        <v>1614</v>
      </c>
    </row>
    <row r="50" spans="1:10" ht="21.95" customHeight="1">
      <c r="A50" s="378" t="s">
        <v>1455</v>
      </c>
      <c r="B50" s="383" t="s">
        <v>1456</v>
      </c>
      <c r="C50" s="379" t="s">
        <v>1457</v>
      </c>
      <c r="D50" s="380"/>
      <c r="E50" s="379"/>
      <c r="F50" s="379"/>
      <c r="G50" s="379"/>
      <c r="H50" s="380">
        <v>1500</v>
      </c>
      <c r="I50" s="381">
        <f t="shared" si="2"/>
        <v>1500</v>
      </c>
      <c r="J50" s="382" t="s">
        <v>1614</v>
      </c>
    </row>
    <row r="51" spans="1:10" ht="21.95" customHeight="1">
      <c r="A51" s="378" t="s">
        <v>1458</v>
      </c>
      <c r="B51" s="383" t="s">
        <v>1472</v>
      </c>
      <c r="C51" s="379" t="s">
        <v>831</v>
      </c>
      <c r="D51" s="380"/>
      <c r="E51" s="379"/>
      <c r="F51" s="379"/>
      <c r="G51" s="379"/>
      <c r="H51" s="380">
        <v>740</v>
      </c>
      <c r="I51" s="381">
        <f t="shared" si="2"/>
        <v>740</v>
      </c>
      <c r="J51" s="382" t="s">
        <v>1614</v>
      </c>
    </row>
    <row r="52" spans="1:10" ht="21.95" customHeight="1">
      <c r="A52" s="378" t="s">
        <v>1458</v>
      </c>
      <c r="B52" s="383" t="s">
        <v>1460</v>
      </c>
      <c r="C52" s="379" t="s">
        <v>831</v>
      </c>
      <c r="D52" s="380"/>
      <c r="E52" s="379"/>
      <c r="F52" s="379"/>
      <c r="G52" s="379"/>
      <c r="H52" s="380">
        <v>740</v>
      </c>
      <c r="I52" s="381">
        <f t="shared" si="2"/>
        <v>740</v>
      </c>
      <c r="J52" s="382" t="s">
        <v>1614</v>
      </c>
    </row>
    <row r="53" spans="1:10" ht="21.95" customHeight="1">
      <c r="A53" s="378" t="s">
        <v>1458</v>
      </c>
      <c r="B53" s="383" t="s">
        <v>1476</v>
      </c>
      <c r="C53" s="379" t="s">
        <v>831</v>
      </c>
      <c r="D53" s="380"/>
      <c r="E53" s="379"/>
      <c r="F53" s="379"/>
      <c r="G53" s="379"/>
      <c r="H53" s="380">
        <v>740</v>
      </c>
      <c r="I53" s="381">
        <f t="shared" ref="I53:I58" si="3">MIN(D53,F53,H53)</f>
        <v>740</v>
      </c>
      <c r="J53" s="382" t="s">
        <v>1614</v>
      </c>
    </row>
    <row r="54" spans="1:10" ht="21.95" customHeight="1">
      <c r="A54" s="378" t="s">
        <v>1458</v>
      </c>
      <c r="B54" s="383" t="s">
        <v>1479</v>
      </c>
      <c r="C54" s="379" t="s">
        <v>831</v>
      </c>
      <c r="D54" s="380"/>
      <c r="E54" s="379"/>
      <c r="F54" s="379"/>
      <c r="G54" s="379"/>
      <c r="H54" s="380">
        <v>740</v>
      </c>
      <c r="I54" s="381">
        <f t="shared" si="3"/>
        <v>740</v>
      </c>
      <c r="J54" s="382" t="s">
        <v>1614</v>
      </c>
    </row>
    <row r="55" spans="1:10" ht="21.95" customHeight="1">
      <c r="A55" s="378" t="s">
        <v>1458</v>
      </c>
      <c r="B55" s="383" t="s">
        <v>1481</v>
      </c>
      <c r="C55" s="379" t="s">
        <v>831</v>
      </c>
      <c r="D55" s="380"/>
      <c r="E55" s="379"/>
      <c r="F55" s="379"/>
      <c r="G55" s="379"/>
      <c r="H55" s="380">
        <v>740</v>
      </c>
      <c r="I55" s="381">
        <f t="shared" si="3"/>
        <v>740</v>
      </c>
      <c r="J55" s="382" t="s">
        <v>1614</v>
      </c>
    </row>
    <row r="56" spans="1:10" ht="21.95" customHeight="1">
      <c r="A56" s="378" t="s">
        <v>1458</v>
      </c>
      <c r="B56" s="383" t="s">
        <v>1488</v>
      </c>
      <c r="C56" s="379" t="s">
        <v>831</v>
      </c>
      <c r="D56" s="380"/>
      <c r="E56" s="379"/>
      <c r="F56" s="379"/>
      <c r="G56" s="379"/>
      <c r="H56" s="380">
        <v>740</v>
      </c>
      <c r="I56" s="381">
        <f t="shared" si="3"/>
        <v>740</v>
      </c>
      <c r="J56" s="382" t="s">
        <v>1614</v>
      </c>
    </row>
    <row r="57" spans="1:10" ht="21.95" customHeight="1">
      <c r="A57" s="378" t="s">
        <v>1459</v>
      </c>
      <c r="B57" s="383" t="s">
        <v>1461</v>
      </c>
      <c r="C57" s="379" t="s">
        <v>831</v>
      </c>
      <c r="D57" s="380"/>
      <c r="E57" s="379"/>
      <c r="F57" s="379"/>
      <c r="G57" s="379"/>
      <c r="H57" s="380">
        <v>16000</v>
      </c>
      <c r="I57" s="381">
        <f t="shared" si="3"/>
        <v>16000</v>
      </c>
      <c r="J57" s="382" t="s">
        <v>1614</v>
      </c>
    </row>
    <row r="58" spans="1:10" ht="21.95" customHeight="1">
      <c r="A58" s="378" t="s">
        <v>1459</v>
      </c>
      <c r="B58" s="383" t="s">
        <v>1489</v>
      </c>
      <c r="C58" s="379" t="s">
        <v>831</v>
      </c>
      <c r="D58" s="380"/>
      <c r="E58" s="379"/>
      <c r="F58" s="379"/>
      <c r="G58" s="379"/>
      <c r="H58" s="380">
        <v>16000</v>
      </c>
      <c r="I58" s="381">
        <f t="shared" si="3"/>
        <v>16000</v>
      </c>
      <c r="J58" s="382" t="s">
        <v>1614</v>
      </c>
    </row>
    <row r="59" spans="1:10" ht="21.95" customHeight="1">
      <c r="A59" s="378" t="s">
        <v>1473</v>
      </c>
      <c r="B59" s="383" t="s">
        <v>1474</v>
      </c>
      <c r="C59" s="379" t="s">
        <v>1089</v>
      </c>
      <c r="D59" s="380"/>
      <c r="E59" s="379"/>
      <c r="F59" s="379"/>
      <c r="G59" s="379"/>
      <c r="H59" s="380">
        <v>500</v>
      </c>
      <c r="I59" s="381">
        <f t="shared" ref="I59:I68" si="4">MIN(D59,F59,H59)</f>
        <v>500</v>
      </c>
      <c r="J59" s="382" t="s">
        <v>1614</v>
      </c>
    </row>
    <row r="60" spans="1:10" ht="21.95" customHeight="1">
      <c r="A60" s="378" t="s">
        <v>1473</v>
      </c>
      <c r="B60" s="383" t="s">
        <v>1487</v>
      </c>
      <c r="C60" s="379" t="s">
        <v>1089</v>
      </c>
      <c r="D60" s="380"/>
      <c r="E60" s="379"/>
      <c r="F60" s="379"/>
      <c r="G60" s="379"/>
      <c r="H60" s="380">
        <v>1300</v>
      </c>
      <c r="I60" s="381">
        <f t="shared" si="4"/>
        <v>1300</v>
      </c>
      <c r="J60" s="382" t="s">
        <v>1614</v>
      </c>
    </row>
    <row r="61" spans="1:10" ht="21.95" customHeight="1">
      <c r="A61" s="378" t="s">
        <v>872</v>
      </c>
      <c r="B61" s="383" t="s">
        <v>1475</v>
      </c>
      <c r="C61" s="379" t="s">
        <v>1014</v>
      </c>
      <c r="D61" s="380"/>
      <c r="E61" s="379"/>
      <c r="F61" s="379"/>
      <c r="G61" s="379"/>
      <c r="H61" s="380">
        <v>300</v>
      </c>
      <c r="I61" s="381">
        <f t="shared" si="4"/>
        <v>300</v>
      </c>
      <c r="J61" s="382" t="s">
        <v>1614</v>
      </c>
    </row>
    <row r="62" spans="1:10" ht="21.95" customHeight="1">
      <c r="A62" s="378" t="s">
        <v>1617</v>
      </c>
      <c r="B62" s="383" t="s">
        <v>1629</v>
      </c>
      <c r="C62" s="379" t="s">
        <v>831</v>
      </c>
      <c r="D62" s="380">
        <v>840</v>
      </c>
      <c r="E62" s="379">
        <v>302</v>
      </c>
      <c r="F62" s="379"/>
      <c r="G62" s="379"/>
      <c r="H62" s="380"/>
      <c r="I62" s="381">
        <f t="shared" si="4"/>
        <v>840</v>
      </c>
      <c r="J62" s="382" t="s">
        <v>1618</v>
      </c>
    </row>
    <row r="63" spans="1:10" ht="21.95" customHeight="1">
      <c r="A63" s="378" t="s">
        <v>1619</v>
      </c>
      <c r="B63" s="383" t="s">
        <v>1620</v>
      </c>
      <c r="C63" s="379" t="s">
        <v>842</v>
      </c>
      <c r="D63" s="380">
        <v>40</v>
      </c>
      <c r="E63" s="379">
        <v>302</v>
      </c>
      <c r="F63" s="379"/>
      <c r="G63" s="379"/>
      <c r="H63" s="380"/>
      <c r="I63" s="381">
        <f t="shared" si="4"/>
        <v>40</v>
      </c>
      <c r="J63" s="382" t="s">
        <v>1618</v>
      </c>
    </row>
    <row r="64" spans="1:10" ht="21.95" customHeight="1">
      <c r="A64" s="378" t="s">
        <v>1621</v>
      </c>
      <c r="B64" s="383" t="s">
        <v>1629</v>
      </c>
      <c r="C64" s="379" t="s">
        <v>811</v>
      </c>
      <c r="D64" s="380">
        <v>170000</v>
      </c>
      <c r="E64" s="379">
        <v>302</v>
      </c>
      <c r="F64" s="379"/>
      <c r="G64" s="379"/>
      <c r="H64" s="380"/>
      <c r="I64" s="381">
        <f t="shared" si="4"/>
        <v>170000</v>
      </c>
      <c r="J64" s="382" t="s">
        <v>1618</v>
      </c>
    </row>
    <row r="65" spans="1:10" ht="21.95" customHeight="1">
      <c r="A65" s="378" t="s">
        <v>1630</v>
      </c>
      <c r="B65" s="383"/>
      <c r="C65" s="379" t="s">
        <v>831</v>
      </c>
      <c r="D65" s="380">
        <v>54000</v>
      </c>
      <c r="E65" s="379">
        <v>304</v>
      </c>
      <c r="F65" s="379"/>
      <c r="G65" s="379"/>
      <c r="H65" s="380"/>
      <c r="I65" s="381">
        <f t="shared" si="4"/>
        <v>54000</v>
      </c>
      <c r="J65" s="382"/>
    </row>
    <row r="66" spans="1:10" ht="21.95" customHeight="1">
      <c r="A66" s="378" t="s">
        <v>1631</v>
      </c>
      <c r="B66" s="383" t="s">
        <v>677</v>
      </c>
      <c r="C66" s="379" t="s">
        <v>1223</v>
      </c>
      <c r="D66" s="380"/>
      <c r="E66" s="379"/>
      <c r="F66" s="379"/>
      <c r="G66" s="379"/>
      <c r="H66" s="380">
        <v>4000</v>
      </c>
      <c r="I66" s="381">
        <f t="shared" si="4"/>
        <v>4000</v>
      </c>
      <c r="J66" s="382" t="s">
        <v>1632</v>
      </c>
    </row>
    <row r="67" spans="1:10" ht="21.95" customHeight="1">
      <c r="A67" s="378"/>
      <c r="B67" s="383"/>
      <c r="C67" s="379"/>
      <c r="D67" s="380"/>
      <c r="E67" s="379"/>
      <c r="F67" s="379"/>
      <c r="G67" s="379"/>
      <c r="H67" s="380"/>
      <c r="I67" s="381">
        <f t="shared" si="4"/>
        <v>0</v>
      </c>
      <c r="J67" s="382"/>
    </row>
    <row r="68" spans="1:10" ht="21.95" customHeight="1">
      <c r="A68" s="378"/>
      <c r="B68" s="383"/>
      <c r="C68" s="379"/>
      <c r="D68" s="380"/>
      <c r="E68" s="379"/>
      <c r="F68" s="379"/>
      <c r="G68" s="379"/>
      <c r="H68" s="380"/>
      <c r="I68" s="381">
        <f t="shared" si="4"/>
        <v>0</v>
      </c>
      <c r="J68" s="382"/>
    </row>
    <row r="69" spans="1:10" ht="21.95" customHeight="1">
      <c r="A69" s="285"/>
      <c r="B69" s="286"/>
      <c r="C69" s="287"/>
      <c r="D69" s="288"/>
      <c r="E69" s="287"/>
      <c r="F69" s="287"/>
      <c r="G69" s="287"/>
      <c r="H69" s="288" t="s">
        <v>902</v>
      </c>
      <c r="I69" s="289"/>
      <c r="J69" s="290"/>
    </row>
    <row r="70" spans="1:10" ht="21.95" customHeight="1"/>
    <row r="71" spans="1:10" ht="21.95" customHeight="1"/>
    <row r="72" spans="1:10" ht="21.95" customHeight="1"/>
    <row r="73" spans="1:10" ht="21.95" customHeight="1"/>
    <row r="74" spans="1:10" ht="21.95" customHeight="1"/>
    <row r="75" spans="1:10" ht="21.95" customHeight="1"/>
    <row r="76" spans="1:10" ht="21.95" customHeight="1"/>
    <row r="77" spans="1:10" ht="21.95" customHeight="1"/>
    <row r="78" spans="1:10" ht="21.95" customHeight="1"/>
    <row r="79" spans="1:10" ht="21.95" customHeight="1"/>
    <row r="80" spans="1:1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  <row r="91" ht="21.95" customHeight="1"/>
    <row r="92" ht="21.95" customHeight="1"/>
    <row r="93" ht="21.95" customHeight="1"/>
    <row r="94" ht="21.95" customHeight="1"/>
    <row r="95" ht="21.95" customHeight="1"/>
    <row r="96" ht="21.95" customHeight="1"/>
    <row r="97" ht="21.95" customHeight="1"/>
    <row r="98" ht="21.95" customHeight="1"/>
    <row r="99" ht="21.95" customHeight="1"/>
    <row r="100" ht="21.95" customHeight="1"/>
    <row r="101" ht="21.95" customHeight="1"/>
    <row r="102" ht="21.95" customHeight="1"/>
    <row r="103" ht="21.95" customHeight="1"/>
    <row r="104" ht="21.95" customHeight="1"/>
    <row r="105" ht="21.95" customHeight="1"/>
    <row r="106" ht="21.95" customHeight="1"/>
    <row r="107" ht="21.95" customHeight="1"/>
    <row r="108" ht="21.95" customHeight="1"/>
    <row r="109" ht="21.95" customHeight="1"/>
    <row r="110" ht="21.95" customHeight="1"/>
    <row r="111" ht="21.95" customHeight="1"/>
    <row r="112" ht="21.95" customHeight="1"/>
    <row r="113" ht="21.95" customHeight="1"/>
    <row r="114" ht="21.95" customHeight="1"/>
    <row r="115" ht="21.95" customHeight="1"/>
    <row r="116" ht="21.95" customHeight="1"/>
    <row r="117" ht="21.95" customHeight="1"/>
    <row r="118" ht="21.95" customHeight="1"/>
    <row r="119" ht="21.95" customHeight="1"/>
    <row r="120" ht="21.95" customHeight="1"/>
  </sheetData>
  <mergeCells count="10">
    <mergeCell ref="J5:J7"/>
    <mergeCell ref="A1:J1"/>
    <mergeCell ref="I2:I4"/>
    <mergeCell ref="J2:J4"/>
    <mergeCell ref="D2:H2"/>
    <mergeCell ref="A2:A4"/>
    <mergeCell ref="B2:B4"/>
    <mergeCell ref="C2:C4"/>
    <mergeCell ref="D3:E3"/>
    <mergeCell ref="F3:G3"/>
  </mergeCells>
  <phoneticPr fontId="3" type="noConversion"/>
  <printOptions horizontalCentered="1"/>
  <pageMargins left="7.874015748031496E-2" right="7.874015748031496E-2" top="0.98425196850393704" bottom="1.0236220472440944" header="0.51181102362204722" footer="0.51181102362204722"/>
  <pageSetup paperSize="9" orientation="portrait" horizontalDpi="4294967295" r:id="rId1"/>
  <headerFooter alignWithMargins="0">
    <oddFooter>&amp;R자연생태복원(JSB)공법
(주) 슈  펙  스</oddFoot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>
  <sheetPr codeName="Sheet9"/>
  <dimension ref="A1:I1116"/>
  <sheetViews>
    <sheetView workbookViewId="0">
      <pane xSplit="2" ySplit="5" topLeftCell="C33" activePane="bottomRight" state="frozen"/>
      <selection activeCell="P6" sqref="P6"/>
      <selection pane="topRight" activeCell="P6" sqref="P6"/>
      <selection pane="bottomLeft" activeCell="P6" sqref="P6"/>
      <selection pane="bottomRight" activeCell="P6" sqref="P6"/>
    </sheetView>
  </sheetViews>
  <sheetFormatPr defaultRowHeight="13.5"/>
  <cols>
    <col min="1" max="1" width="5.77734375" style="5" customWidth="1"/>
    <col min="2" max="3" width="15.77734375" style="4" customWidth="1"/>
    <col min="4" max="7" width="9.77734375" style="3" customWidth="1"/>
    <col min="8" max="16384" width="8.88671875" style="3"/>
  </cols>
  <sheetData>
    <row r="1" spans="1:9" ht="20.25">
      <c r="A1" s="1923" t="s">
        <v>1037</v>
      </c>
      <c r="B1" s="1923"/>
      <c r="C1" s="1923"/>
      <c r="D1" s="1923"/>
      <c r="E1" s="1923"/>
      <c r="F1" s="1923"/>
      <c r="G1" s="1923"/>
    </row>
    <row r="3" spans="1:9" s="308" customFormat="1" ht="15" customHeight="1">
      <c r="A3" s="1924" t="s">
        <v>968</v>
      </c>
      <c r="B3" s="1928" t="s">
        <v>812</v>
      </c>
      <c r="C3" s="1928" t="s">
        <v>982</v>
      </c>
      <c r="D3" s="1921" t="s">
        <v>813</v>
      </c>
      <c r="E3" s="1921" t="s">
        <v>814</v>
      </c>
      <c r="F3" s="1921" t="s">
        <v>815</v>
      </c>
      <c r="G3" s="1926" t="s">
        <v>816</v>
      </c>
    </row>
    <row r="4" spans="1:9" s="308" customFormat="1" ht="15" customHeight="1">
      <c r="A4" s="1925"/>
      <c r="B4" s="1929"/>
      <c r="C4" s="1929"/>
      <c r="D4" s="1922"/>
      <c r="E4" s="1922"/>
      <c r="F4" s="1922"/>
      <c r="G4" s="1927"/>
    </row>
    <row r="5" spans="1:9" s="308" customFormat="1" ht="15" customHeight="1">
      <c r="A5" s="1925"/>
      <c r="B5" s="1929"/>
      <c r="C5" s="1929"/>
      <c r="D5" s="1922"/>
      <c r="E5" s="1922"/>
      <c r="F5" s="1922"/>
      <c r="G5" s="1927"/>
    </row>
    <row r="6" spans="1:9" s="2" customFormat="1" ht="15" customHeight="1">
      <c r="A6" s="1907">
        <v>1</v>
      </c>
      <c r="B6" s="1920" t="s">
        <v>906</v>
      </c>
      <c r="C6" s="1909" t="s">
        <v>875</v>
      </c>
      <c r="D6" s="1917">
        <f ca="1">'10.0중기사용료'!F38</f>
        <v>24973</v>
      </c>
      <c r="E6" s="1912">
        <f ca="1">TRUNC('10.0중기사용료'!F33,0)</f>
        <v>0</v>
      </c>
      <c r="F6" s="1912">
        <f ca="1">TRUNC('10.0중기사용료'!F29,0)</f>
        <v>0</v>
      </c>
      <c r="G6" s="1913">
        <f ca="1">TRUNC('10.0중기사용료'!F35,0)</f>
        <v>24973</v>
      </c>
      <c r="H6" s="1"/>
      <c r="I6" s="1"/>
    </row>
    <row r="7" spans="1:9" s="2" customFormat="1" ht="15" customHeight="1">
      <c r="A7" s="1908"/>
      <c r="B7" s="1920"/>
      <c r="C7" s="1910"/>
      <c r="D7" s="1917"/>
      <c r="E7" s="1912"/>
      <c r="F7" s="1912"/>
      <c r="G7" s="1913"/>
      <c r="H7" s="1"/>
      <c r="I7" s="1"/>
    </row>
    <row r="8" spans="1:9" s="2" customFormat="1" ht="15" customHeight="1">
      <c r="A8" s="1907">
        <v>2</v>
      </c>
      <c r="B8" s="1909" t="s">
        <v>912</v>
      </c>
      <c r="C8" s="1909" t="s">
        <v>913</v>
      </c>
      <c r="D8" s="1917">
        <f ca="1">'10.0중기사용료'!F54</f>
        <v>54794</v>
      </c>
      <c r="E8" s="1912">
        <f ca="1">'10.0중기사용료'!F48</f>
        <v>20561</v>
      </c>
      <c r="F8" s="1912">
        <f ca="1">'10.0중기사용료'!F46</f>
        <v>29577</v>
      </c>
      <c r="G8" s="1913">
        <f ca="1">'10.0중기사용료'!F50</f>
        <v>4656</v>
      </c>
      <c r="H8" s="1"/>
      <c r="I8" s="1"/>
    </row>
    <row r="9" spans="1:9" s="2" customFormat="1" ht="15" customHeight="1">
      <c r="A9" s="1908"/>
      <c r="B9" s="1909"/>
      <c r="C9" s="1910"/>
      <c r="D9" s="1917"/>
      <c r="E9" s="1912"/>
      <c r="F9" s="1912"/>
      <c r="G9" s="1913"/>
      <c r="H9" s="1"/>
      <c r="I9" s="1"/>
    </row>
    <row r="10" spans="1:9" s="2" customFormat="1" ht="15" customHeight="1">
      <c r="A10" s="1907">
        <v>3</v>
      </c>
      <c r="B10" s="1909" t="s">
        <v>914</v>
      </c>
      <c r="C10" s="1909" t="s">
        <v>915</v>
      </c>
      <c r="D10" s="1917">
        <f ca="1">SUM(E10+F10+G10)</f>
        <v>42857</v>
      </c>
      <c r="E10" s="1912">
        <f ca="1">'10.0중기사용료'!F64</f>
        <v>14915</v>
      </c>
      <c r="F10" s="1912">
        <f ca="1">'10.0중기사용료'!F62</f>
        <v>23409</v>
      </c>
      <c r="G10" s="1913">
        <f ca="1">'10.0중기사용료'!F66</f>
        <v>4533</v>
      </c>
      <c r="H10" s="1"/>
      <c r="I10" s="1"/>
    </row>
    <row r="11" spans="1:9" s="2" customFormat="1" ht="15" customHeight="1">
      <c r="A11" s="1908"/>
      <c r="B11" s="1909"/>
      <c r="C11" s="1910"/>
      <c r="D11" s="1917"/>
      <c r="E11" s="1912"/>
      <c r="F11" s="1912"/>
      <c r="G11" s="1913"/>
      <c r="H11" s="1"/>
      <c r="I11" s="1"/>
    </row>
    <row r="12" spans="1:9" s="2" customFormat="1" ht="15" customHeight="1">
      <c r="A12" s="1907">
        <v>4</v>
      </c>
      <c r="B12" s="1909" t="s">
        <v>909</v>
      </c>
      <c r="C12" s="1909" t="s">
        <v>916</v>
      </c>
      <c r="D12" s="1917">
        <f ca="1">SUM(E12+F12+G12)</f>
        <v>34698</v>
      </c>
      <c r="E12" s="1912">
        <f ca="1">'10.0중기사용료'!F80</f>
        <v>17696</v>
      </c>
      <c r="F12" s="1912">
        <f ca="1">'10.0중기사용료'!F78</f>
        <v>6640</v>
      </c>
      <c r="G12" s="1913">
        <f ca="1">'10.0중기사용료'!F82</f>
        <v>10362</v>
      </c>
      <c r="H12" s="1"/>
      <c r="I12" s="1"/>
    </row>
    <row r="13" spans="1:9" s="2" customFormat="1" ht="15" customHeight="1">
      <c r="A13" s="1908"/>
      <c r="B13" s="1909"/>
      <c r="C13" s="1910"/>
      <c r="D13" s="1917"/>
      <c r="E13" s="1912"/>
      <c r="F13" s="1912"/>
      <c r="G13" s="1913"/>
      <c r="H13" s="1"/>
      <c r="I13" s="1"/>
    </row>
    <row r="14" spans="1:9" s="2" customFormat="1" ht="15" customHeight="1">
      <c r="A14" s="1907">
        <v>5</v>
      </c>
      <c r="B14" s="1909" t="s">
        <v>917</v>
      </c>
      <c r="C14" s="1909" t="s">
        <v>918</v>
      </c>
      <c r="D14" s="1917">
        <f ca="1">SUM(E14+F14+G14)</f>
        <v>38636</v>
      </c>
      <c r="E14" s="1912">
        <f ca="1">'10.0중기사용료'!F96</f>
        <v>17696</v>
      </c>
      <c r="F14" s="1912">
        <f ca="1">'10.0중기사용료'!F94</f>
        <v>13117</v>
      </c>
      <c r="G14" s="1913">
        <f ca="1">'10.0중기사용료'!F98</f>
        <v>7823</v>
      </c>
      <c r="H14" s="1"/>
      <c r="I14" s="1"/>
    </row>
    <row r="15" spans="1:9" s="2" customFormat="1" ht="15" customHeight="1">
      <c r="A15" s="1908"/>
      <c r="B15" s="1909"/>
      <c r="C15" s="1910"/>
      <c r="D15" s="1917"/>
      <c r="E15" s="1912"/>
      <c r="F15" s="1912"/>
      <c r="G15" s="1913"/>
      <c r="H15" s="1"/>
      <c r="I15" s="1"/>
    </row>
    <row r="16" spans="1:9" s="2" customFormat="1" ht="15" customHeight="1">
      <c r="A16" s="1907">
        <v>6</v>
      </c>
      <c r="B16" s="1909" t="s">
        <v>817</v>
      </c>
      <c r="C16" s="1909" t="s">
        <v>919</v>
      </c>
      <c r="D16" s="1917">
        <f ca="1">SUM(E16+F16+G16)</f>
        <v>35791</v>
      </c>
      <c r="E16" s="1912">
        <f ca="1">'10.0중기사용료'!F111</f>
        <v>17696</v>
      </c>
      <c r="F16" s="1912">
        <f ca="1">'10.0중기사용료'!F109</f>
        <v>11978</v>
      </c>
      <c r="G16" s="1913">
        <f ca="1">'10.0중기사용료'!F113</f>
        <v>6117</v>
      </c>
      <c r="H16" s="1"/>
      <c r="I16" s="1"/>
    </row>
    <row r="17" spans="1:9" s="2" customFormat="1" ht="15" customHeight="1">
      <c r="A17" s="1908"/>
      <c r="B17" s="1909"/>
      <c r="C17" s="1910"/>
      <c r="D17" s="1917"/>
      <c r="E17" s="1912"/>
      <c r="F17" s="1912"/>
      <c r="G17" s="1913"/>
      <c r="H17" s="1"/>
      <c r="I17" s="1"/>
    </row>
    <row r="18" spans="1:9" s="2" customFormat="1" ht="15" customHeight="1">
      <c r="A18" s="1907">
        <v>7</v>
      </c>
      <c r="B18" s="1915" t="s">
        <v>1083</v>
      </c>
      <c r="C18" s="1909" t="s">
        <v>1084</v>
      </c>
      <c r="D18" s="1917">
        <f ca="1">SUM(E18+F18+G18)</f>
        <v>39181</v>
      </c>
      <c r="E18" s="1912">
        <f ca="1">'10.0중기사용료'!F128</f>
        <v>17696</v>
      </c>
      <c r="F18" s="1912">
        <f ca="1">'10.0중기사용료'!F126</f>
        <v>12070</v>
      </c>
      <c r="G18" s="1913">
        <f ca="1">'10.0중기사용료'!F130</f>
        <v>9415</v>
      </c>
      <c r="H18" s="1"/>
      <c r="I18" s="1"/>
    </row>
    <row r="19" spans="1:9" s="2" customFormat="1" ht="15" customHeight="1">
      <c r="A19" s="1908"/>
      <c r="B19" s="1916"/>
      <c r="C19" s="1910"/>
      <c r="D19" s="1917"/>
      <c r="E19" s="1912"/>
      <c r="F19" s="1912"/>
      <c r="G19" s="1913"/>
      <c r="H19" s="1"/>
      <c r="I19" s="1"/>
    </row>
    <row r="20" spans="1:9" s="2" customFormat="1" ht="15" customHeight="1">
      <c r="A20" s="1907">
        <v>8</v>
      </c>
      <c r="B20" s="1909" t="s">
        <v>1103</v>
      </c>
      <c r="C20" s="1909" t="s">
        <v>1101</v>
      </c>
      <c r="D20" s="1917">
        <f ca="1">SUM(E20+F20+G20)</f>
        <v>68</v>
      </c>
      <c r="E20" s="1912">
        <f ca="1">'10.0중기사용료'!F143</f>
        <v>0</v>
      </c>
      <c r="F20" s="1912">
        <f ca="1">'10.0중기사용료'!F141</f>
        <v>0</v>
      </c>
      <c r="G20" s="1913">
        <f ca="1">'10.0중기사용료'!F145</f>
        <v>68</v>
      </c>
      <c r="H20" s="1"/>
      <c r="I20" s="1"/>
    </row>
    <row r="21" spans="1:9" s="2" customFormat="1" ht="15" customHeight="1">
      <c r="A21" s="1908"/>
      <c r="B21" s="1909"/>
      <c r="C21" s="1910"/>
      <c r="D21" s="1917"/>
      <c r="E21" s="1912"/>
      <c r="F21" s="1912"/>
      <c r="G21" s="1913"/>
      <c r="H21" s="1"/>
      <c r="I21" s="1"/>
    </row>
    <row r="22" spans="1:9" s="2" customFormat="1" ht="15" customHeight="1">
      <c r="A22" s="1907">
        <v>9</v>
      </c>
      <c r="B22" s="1909" t="s">
        <v>1100</v>
      </c>
      <c r="C22" s="1909" t="s">
        <v>1108</v>
      </c>
      <c r="D22" s="1917">
        <f ca="1">SUM(E22+F22+G22)</f>
        <v>734</v>
      </c>
      <c r="E22" s="1912">
        <f ca="1">'10.0중기사용료'!F160</f>
        <v>0</v>
      </c>
      <c r="F22" s="1912">
        <f ca="1">'10.0중기사용료'!F158</f>
        <v>668</v>
      </c>
      <c r="G22" s="1913">
        <f ca="1">'10.0중기사용료'!F162</f>
        <v>66</v>
      </c>
      <c r="H22" s="1"/>
      <c r="I22" s="1"/>
    </row>
    <row r="23" spans="1:9" s="2" customFormat="1" ht="15" customHeight="1">
      <c r="A23" s="1908"/>
      <c r="B23" s="1909"/>
      <c r="C23" s="1910"/>
      <c r="D23" s="1917"/>
      <c r="E23" s="1912"/>
      <c r="F23" s="1912"/>
      <c r="G23" s="1913"/>
      <c r="H23" s="1"/>
      <c r="I23" s="1"/>
    </row>
    <row r="24" spans="1:9" s="2" customFormat="1" ht="15" customHeight="1">
      <c r="A24" s="1907">
        <v>10</v>
      </c>
      <c r="B24" s="1909" t="s">
        <v>1106</v>
      </c>
      <c r="C24" s="1909" t="s">
        <v>1107</v>
      </c>
      <c r="D24" s="1917">
        <f ca="1">SUM(E24+F24+G24)</f>
        <v>35</v>
      </c>
      <c r="E24" s="1912">
        <f ca="1">'10.0중기사용료'!F175</f>
        <v>0</v>
      </c>
      <c r="F24" s="1912">
        <f ca="1">'10.0중기사용료'!F173</f>
        <v>0</v>
      </c>
      <c r="G24" s="1913">
        <f ca="1">'10.0중기사용료'!F177</f>
        <v>35</v>
      </c>
      <c r="H24" s="1"/>
      <c r="I24" s="1"/>
    </row>
    <row r="25" spans="1:9" s="2" customFormat="1" ht="15" customHeight="1">
      <c r="A25" s="1908"/>
      <c r="B25" s="1909"/>
      <c r="C25" s="1910"/>
      <c r="D25" s="1917"/>
      <c r="E25" s="1912"/>
      <c r="F25" s="1912"/>
      <c r="G25" s="1913"/>
      <c r="H25" s="1"/>
      <c r="I25" s="1"/>
    </row>
    <row r="26" spans="1:9" s="2" customFormat="1" ht="15" customHeight="1">
      <c r="A26" s="1907">
        <v>11</v>
      </c>
      <c r="B26" s="1909" t="s">
        <v>817</v>
      </c>
      <c r="C26" s="1909" t="s">
        <v>1110</v>
      </c>
      <c r="D26" s="1917">
        <f ca="1">SUM(E26+F26+G26)</f>
        <v>35092</v>
      </c>
      <c r="E26" s="1912">
        <f ca="1">'10.0중기사용료'!F192</f>
        <v>17696</v>
      </c>
      <c r="F26" s="1912">
        <f ca="1">'10.0중기사용료'!F190</f>
        <v>10468</v>
      </c>
      <c r="G26" s="1913">
        <f ca="1">'10.0중기사용료'!F194</f>
        <v>6928</v>
      </c>
      <c r="H26" s="1"/>
      <c r="I26" s="1"/>
    </row>
    <row r="27" spans="1:9" s="2" customFormat="1" ht="15" customHeight="1">
      <c r="A27" s="1908"/>
      <c r="B27" s="1909"/>
      <c r="C27" s="1910"/>
      <c r="D27" s="1917"/>
      <c r="E27" s="1912"/>
      <c r="F27" s="1912"/>
      <c r="G27" s="1913"/>
      <c r="H27" s="1"/>
      <c r="I27" s="1"/>
    </row>
    <row r="28" spans="1:9" s="2" customFormat="1" ht="15" customHeight="1">
      <c r="A28" s="1907">
        <v>12</v>
      </c>
      <c r="B28" s="1909" t="s">
        <v>1232</v>
      </c>
      <c r="C28" s="1909" t="s">
        <v>1235</v>
      </c>
      <c r="D28" s="1918">
        <f ca="1">SUM(E28+F28+G28)</f>
        <v>129226</v>
      </c>
      <c r="E28" s="1912">
        <f ca="1">'10.0중기사용료'!F209</f>
        <v>36113</v>
      </c>
      <c r="F28" s="1912">
        <f ca="1">'10.0중기사용료'!F205</f>
        <v>19269</v>
      </c>
      <c r="G28" s="1913">
        <f ca="1">'10.0중기사용료'!F211</f>
        <v>73844</v>
      </c>
      <c r="H28" s="1"/>
      <c r="I28" s="1"/>
    </row>
    <row r="29" spans="1:9" s="2" customFormat="1" ht="15" customHeight="1">
      <c r="A29" s="1908"/>
      <c r="B29" s="1909"/>
      <c r="C29" s="1910"/>
      <c r="D29" s="1919"/>
      <c r="E29" s="1912"/>
      <c r="F29" s="1912"/>
      <c r="G29" s="1913"/>
      <c r="H29" s="1"/>
      <c r="I29" s="1"/>
    </row>
    <row r="30" spans="1:9" s="2" customFormat="1" ht="15" customHeight="1">
      <c r="A30" s="1907">
        <v>13</v>
      </c>
      <c r="B30" s="1909" t="s">
        <v>1234</v>
      </c>
      <c r="C30" s="1909" t="s">
        <v>1237</v>
      </c>
      <c r="D30" s="1918">
        <f ca="1">SUM(E30+F30+G30)</f>
        <v>848</v>
      </c>
      <c r="E30" s="1912">
        <f ca="1">'10.0중기사용료'!F226</f>
        <v>0</v>
      </c>
      <c r="F30" s="1912">
        <f ca="1">'10.0중기사용료'!F222</f>
        <v>0</v>
      </c>
      <c r="G30" s="1913">
        <f ca="1">'10.0중기사용료'!F228</f>
        <v>848</v>
      </c>
      <c r="H30" s="1"/>
      <c r="I30" s="1"/>
    </row>
    <row r="31" spans="1:9" s="2" customFormat="1" ht="15" customHeight="1">
      <c r="A31" s="1908"/>
      <c r="B31" s="1909"/>
      <c r="C31" s="1910"/>
      <c r="D31" s="1919"/>
      <c r="E31" s="1912"/>
      <c r="F31" s="1912"/>
      <c r="G31" s="1913"/>
      <c r="H31" s="1"/>
      <c r="I31" s="1"/>
    </row>
    <row r="32" spans="1:9" s="2" customFormat="1" ht="15" customHeight="1">
      <c r="A32" s="1907">
        <v>14</v>
      </c>
      <c r="B32" s="1909" t="s">
        <v>1233</v>
      </c>
      <c r="C32" s="1909" t="s">
        <v>1236</v>
      </c>
      <c r="D32" s="1918">
        <f ca="1">SUM(E32+F32+G32)</f>
        <v>43522</v>
      </c>
      <c r="E32" s="1912">
        <f ca="1">'10.0중기사용료'!F241</f>
        <v>20561</v>
      </c>
      <c r="F32" s="1912">
        <f ca="1">'10.0중기사용료'!F239</f>
        <v>18097</v>
      </c>
      <c r="G32" s="1913">
        <f ca="1">'10.0중기사용료'!F243</f>
        <v>4864</v>
      </c>
      <c r="H32" s="1"/>
      <c r="I32" s="1"/>
    </row>
    <row r="33" spans="1:9" s="2" customFormat="1" ht="15" customHeight="1">
      <c r="A33" s="1908"/>
      <c r="B33" s="1909"/>
      <c r="C33" s="1910"/>
      <c r="D33" s="1919"/>
      <c r="E33" s="1912"/>
      <c r="F33" s="1912"/>
      <c r="G33" s="1913"/>
      <c r="H33" s="1"/>
      <c r="I33" s="1"/>
    </row>
    <row r="34" spans="1:9" s="2" customFormat="1" ht="15" customHeight="1">
      <c r="A34" s="1907">
        <v>15</v>
      </c>
      <c r="B34" s="1909" t="s">
        <v>914</v>
      </c>
      <c r="C34" s="1909" t="s">
        <v>1443</v>
      </c>
      <c r="D34" s="1918">
        <f ca="1">SUM(E34+F34+G34)</f>
        <v>30371</v>
      </c>
      <c r="E34" s="1912">
        <f ca="1">'10.0중기사용료'!F257</f>
        <v>14915</v>
      </c>
      <c r="F34" s="1912">
        <f ca="1">'10.0중기사용료'!F255</f>
        <v>11704</v>
      </c>
      <c r="G34" s="1913">
        <f ca="1">'10.0중기사용료'!F259</f>
        <v>3752</v>
      </c>
      <c r="H34" s="1"/>
      <c r="I34" s="1"/>
    </row>
    <row r="35" spans="1:9" s="2" customFormat="1" ht="15" customHeight="1">
      <c r="A35" s="1908"/>
      <c r="B35" s="1909"/>
      <c r="C35" s="1910"/>
      <c r="D35" s="1919"/>
      <c r="E35" s="1912"/>
      <c r="F35" s="1912"/>
      <c r="G35" s="1913"/>
      <c r="H35" s="1"/>
      <c r="I35" s="1"/>
    </row>
    <row r="36" spans="1:9" s="2" customFormat="1" ht="15" customHeight="1">
      <c r="A36" s="1907">
        <v>16</v>
      </c>
      <c r="B36" s="1909" t="s">
        <v>1233</v>
      </c>
      <c r="C36" s="1909" t="s">
        <v>1444</v>
      </c>
      <c r="D36" s="1918">
        <f ca="1">SUM(E36+F36+G36)</f>
        <v>63620</v>
      </c>
      <c r="E36" s="1912">
        <f ca="1">'10.0중기사용료'!F273</f>
        <v>20561</v>
      </c>
      <c r="F36" s="1912">
        <f ca="1">'10.0중기사용료'!F271</f>
        <v>35154</v>
      </c>
      <c r="G36" s="1913">
        <f ca="1">'10.0중기사용료'!F275</f>
        <v>7905</v>
      </c>
      <c r="H36" s="1"/>
      <c r="I36" s="1"/>
    </row>
    <row r="37" spans="1:9" s="2" customFormat="1" ht="15" customHeight="1">
      <c r="A37" s="1908"/>
      <c r="B37" s="1909"/>
      <c r="C37" s="1910"/>
      <c r="D37" s="1919"/>
      <c r="E37" s="1912"/>
      <c r="F37" s="1912"/>
      <c r="G37" s="1913"/>
      <c r="H37" s="1"/>
      <c r="I37" s="1"/>
    </row>
    <row r="38" spans="1:9" s="2" customFormat="1" ht="15" customHeight="1">
      <c r="A38" s="1907">
        <v>17</v>
      </c>
      <c r="B38" s="1909" t="s">
        <v>817</v>
      </c>
      <c r="C38" s="1909" t="s">
        <v>1465</v>
      </c>
      <c r="D38" s="1917">
        <f ca="1">SUM(E38+F38+G38)</f>
        <v>46598</v>
      </c>
      <c r="E38" s="1912">
        <f ca="1">'10.0중기사용료'!F288</f>
        <v>17696</v>
      </c>
      <c r="F38" s="1912">
        <f ca="1">'10.0중기사용료'!F286</f>
        <v>19373</v>
      </c>
      <c r="G38" s="1913">
        <f ca="1">'10.0중기사용료'!F290</f>
        <v>9529</v>
      </c>
      <c r="H38" s="1"/>
      <c r="I38" s="1"/>
    </row>
    <row r="39" spans="1:9" s="2" customFormat="1" ht="15" customHeight="1">
      <c r="A39" s="1908"/>
      <c r="B39" s="1909"/>
      <c r="C39" s="1910"/>
      <c r="D39" s="1917"/>
      <c r="E39" s="1912"/>
      <c r="F39" s="1912"/>
      <c r="G39" s="1913"/>
      <c r="H39" s="1"/>
      <c r="I39" s="1"/>
    </row>
    <row r="40" spans="1:9" s="2" customFormat="1" ht="15" customHeight="1">
      <c r="A40" s="1907">
        <v>18</v>
      </c>
      <c r="B40" s="1909" t="s">
        <v>1566</v>
      </c>
      <c r="C40" s="1909" t="s">
        <v>1567</v>
      </c>
      <c r="D40" s="1911">
        <f ca="1">SUM(E40+F40+G40)</f>
        <v>7417</v>
      </c>
      <c r="E40" s="1912"/>
      <c r="F40" s="1912"/>
      <c r="G40" s="1913">
        <f ca="1">'10.0중기사용료'!F310</f>
        <v>7417</v>
      </c>
      <c r="H40" s="1"/>
      <c r="I40" s="1"/>
    </row>
    <row r="41" spans="1:9" s="2" customFormat="1" ht="15" customHeight="1">
      <c r="A41" s="1908"/>
      <c r="B41" s="1909"/>
      <c r="C41" s="1910"/>
      <c r="D41" s="1911"/>
      <c r="E41" s="1912"/>
      <c r="F41" s="1912"/>
      <c r="G41" s="1913"/>
      <c r="H41" s="1"/>
      <c r="I41" s="1"/>
    </row>
    <row r="42" spans="1:9" s="2" customFormat="1" ht="15" customHeight="1">
      <c r="A42" s="1907">
        <v>19</v>
      </c>
      <c r="B42" s="1909" t="s">
        <v>1607</v>
      </c>
      <c r="C42" s="1914" t="s">
        <v>1610</v>
      </c>
      <c r="D42" s="1911">
        <f ca="1">SUM(E42+F42+G42)</f>
        <v>24572</v>
      </c>
      <c r="E42" s="1912">
        <f ca="1">'10.0중기사용료'!F320</f>
        <v>14915</v>
      </c>
      <c r="F42" s="1912">
        <f ca="1">'10.0중기사용료'!F318</f>
        <v>4431</v>
      </c>
      <c r="G42" s="1913">
        <f ca="1">'10.0중기사용료'!F322</f>
        <v>5226</v>
      </c>
      <c r="H42" s="1"/>
      <c r="I42" s="1"/>
    </row>
    <row r="43" spans="1:9" s="2" customFormat="1" ht="15" customHeight="1">
      <c r="A43" s="1908"/>
      <c r="B43" s="1909"/>
      <c r="C43" s="1914"/>
      <c r="D43" s="1911"/>
      <c r="E43" s="1912"/>
      <c r="F43" s="1912"/>
      <c r="G43" s="1913"/>
      <c r="H43" s="1"/>
      <c r="I43" s="1"/>
    </row>
    <row r="44" spans="1:9" s="2" customFormat="1" ht="15" customHeight="1">
      <c r="A44" s="1907">
        <v>20</v>
      </c>
      <c r="B44" s="1909" t="s">
        <v>1608</v>
      </c>
      <c r="C44" s="1914" t="s">
        <v>707</v>
      </c>
      <c r="D44" s="1911">
        <f ca="1">SUM(E44+F44+G44)</f>
        <v>10616</v>
      </c>
      <c r="E44" s="1912">
        <f ca="1">'10.0중기사용료'!F336</f>
        <v>0</v>
      </c>
      <c r="F44" s="1912">
        <f ca="1">'10.0중기사용료'!F334</f>
        <v>9565</v>
      </c>
      <c r="G44" s="1913">
        <f ca="1">'10.0중기사용료'!F338</f>
        <v>1051</v>
      </c>
      <c r="H44" s="1"/>
      <c r="I44" s="1"/>
    </row>
    <row r="45" spans="1:9" s="2" customFormat="1" ht="15" customHeight="1">
      <c r="A45" s="1908"/>
      <c r="B45" s="1909"/>
      <c r="C45" s="1914"/>
      <c r="D45" s="1911"/>
      <c r="E45" s="1912"/>
      <c r="F45" s="1912"/>
      <c r="G45" s="1913"/>
      <c r="H45" s="1"/>
      <c r="I45" s="1"/>
    </row>
    <row r="46" spans="1:9" s="2" customFormat="1" ht="15" customHeight="1">
      <c r="A46" s="1907">
        <v>21</v>
      </c>
      <c r="B46" s="1909" t="s">
        <v>1609</v>
      </c>
      <c r="C46" s="1914" t="s">
        <v>1611</v>
      </c>
      <c r="D46" s="1911">
        <f ca="1">SUM(E46+F46+G46)</f>
        <v>2129</v>
      </c>
      <c r="E46" s="1912"/>
      <c r="F46" s="1912"/>
      <c r="G46" s="1913">
        <f ca="1">'10.0중기사용료'!F354</f>
        <v>2129</v>
      </c>
      <c r="H46" s="1"/>
      <c r="I46" s="1"/>
    </row>
    <row r="47" spans="1:9" s="2" customFormat="1" ht="15" customHeight="1">
      <c r="A47" s="1908"/>
      <c r="B47" s="1909"/>
      <c r="C47" s="1914"/>
      <c r="D47" s="1911"/>
      <c r="E47" s="1912"/>
      <c r="F47" s="1912"/>
      <c r="G47" s="1913"/>
      <c r="H47" s="1"/>
      <c r="I47" s="1"/>
    </row>
    <row r="48" spans="1:9" s="2" customFormat="1" ht="15" customHeight="1">
      <c r="A48" s="1907">
        <v>22</v>
      </c>
      <c r="B48" s="1909" t="s">
        <v>1623</v>
      </c>
      <c r="C48" s="1909" t="s">
        <v>1463</v>
      </c>
      <c r="D48" s="1911">
        <f>SUM(E48+F48+G48)</f>
        <v>42799</v>
      </c>
      <c r="E48" s="1912">
        <v>16611</v>
      </c>
      <c r="F48" s="1912">
        <v>10217</v>
      </c>
      <c r="G48" s="1913">
        <v>15971</v>
      </c>
      <c r="H48" s="1"/>
      <c r="I48" s="1"/>
    </row>
    <row r="49" spans="1:9" s="2" customFormat="1" ht="15" customHeight="1">
      <c r="A49" s="1908"/>
      <c r="B49" s="1909"/>
      <c r="C49" s="1910"/>
      <c r="D49" s="1911"/>
      <c r="E49" s="1912"/>
      <c r="F49" s="1912"/>
      <c r="G49" s="1913"/>
      <c r="H49" s="1"/>
      <c r="I49" s="1"/>
    </row>
    <row r="50" spans="1:9" s="2" customFormat="1" ht="15" customHeight="1">
      <c r="A50" s="1907">
        <v>23</v>
      </c>
      <c r="B50" s="1909" t="s">
        <v>1624</v>
      </c>
      <c r="C50" s="1914" t="s">
        <v>1625</v>
      </c>
      <c r="D50" s="1911">
        <f>SUM(E50+F50+G50)</f>
        <v>86316</v>
      </c>
      <c r="E50" s="1912">
        <f ca="1">'10.0중기사용료'!F368</f>
        <v>14915</v>
      </c>
      <c r="F50" s="1912">
        <f ca="1">'10.0중기사용료'!F366</f>
        <v>8332</v>
      </c>
      <c r="G50" s="1913">
        <f ca="1">'10.0중기사용료'!F370</f>
        <v>63069</v>
      </c>
      <c r="H50" s="1"/>
      <c r="I50" s="1"/>
    </row>
    <row r="51" spans="1:9" s="2" customFormat="1" ht="15" customHeight="1">
      <c r="A51" s="1908"/>
      <c r="B51" s="1909"/>
      <c r="C51" s="1914"/>
      <c r="D51" s="1911"/>
      <c r="E51" s="1912"/>
      <c r="F51" s="1912"/>
      <c r="G51" s="1913"/>
      <c r="H51" s="1"/>
      <c r="I51" s="1"/>
    </row>
    <row r="52" spans="1:9" s="2" customFormat="1" ht="15" customHeight="1">
      <c r="A52" s="1907">
        <v>24</v>
      </c>
      <c r="B52" s="1909" t="s">
        <v>1627</v>
      </c>
      <c r="C52" s="1909" t="s">
        <v>1628</v>
      </c>
      <c r="D52" s="1911">
        <f>SUM(E52+F52+G52)</f>
        <v>77</v>
      </c>
      <c r="E52" s="1912"/>
      <c r="F52" s="1912"/>
      <c r="G52" s="1913">
        <f ca="1">'10.0중기사용료'!F386</f>
        <v>77</v>
      </c>
      <c r="H52" s="1"/>
      <c r="I52" s="1"/>
    </row>
    <row r="53" spans="1:9" s="2" customFormat="1" ht="15" customHeight="1">
      <c r="A53" s="1908"/>
      <c r="B53" s="1909"/>
      <c r="C53" s="1910"/>
      <c r="D53" s="1911"/>
      <c r="E53" s="1912"/>
      <c r="F53" s="1912"/>
      <c r="G53" s="1913"/>
      <c r="H53" s="1"/>
      <c r="I53" s="1"/>
    </row>
    <row r="54" spans="1:9" s="2" customFormat="1" ht="15" customHeight="1">
      <c r="A54" s="1907">
        <v>24</v>
      </c>
      <c r="B54" s="1909" t="s">
        <v>1637</v>
      </c>
      <c r="C54" s="1914" t="s">
        <v>1638</v>
      </c>
      <c r="D54" s="1911">
        <f>SUM(E54+F54+G54)</f>
        <v>21247</v>
      </c>
      <c r="E54" s="1912">
        <f ca="1">'10.0중기사용료'!F416</f>
        <v>14915</v>
      </c>
      <c r="F54" s="1912">
        <f ca="1">'10.0중기사용료'!F414</f>
        <v>2272</v>
      </c>
      <c r="G54" s="1913">
        <f ca="1">'10.0중기사용료'!F418</f>
        <v>4060</v>
      </c>
      <c r="H54" s="1"/>
      <c r="I54" s="1"/>
    </row>
    <row r="55" spans="1:9" s="2" customFormat="1" ht="15" customHeight="1">
      <c r="A55" s="1908"/>
      <c r="B55" s="1909"/>
      <c r="C55" s="1914"/>
      <c r="D55" s="1911"/>
      <c r="E55" s="1912"/>
      <c r="F55" s="1912"/>
      <c r="G55" s="1913"/>
      <c r="H55" s="1"/>
      <c r="I55" s="1"/>
    </row>
    <row r="56" spans="1:9" s="2" customFormat="1" ht="15" customHeight="1">
      <c r="A56" s="1907">
        <v>24</v>
      </c>
      <c r="B56" s="1909" t="s">
        <v>1640</v>
      </c>
      <c r="C56" s="1914" t="s">
        <v>1641</v>
      </c>
      <c r="D56" s="1911">
        <f>SUM(E56+F56+G56)</f>
        <v>15971</v>
      </c>
      <c r="E56" s="1912"/>
      <c r="F56" s="1912"/>
      <c r="G56" s="1913">
        <f ca="1">'10.0중기사용료'!F434</f>
        <v>15971</v>
      </c>
      <c r="H56" s="1"/>
      <c r="I56" s="1"/>
    </row>
    <row r="57" spans="1:9" s="2" customFormat="1" ht="15" customHeight="1">
      <c r="A57" s="1908"/>
      <c r="B57" s="1909"/>
      <c r="C57" s="1914"/>
      <c r="D57" s="1911"/>
      <c r="E57" s="1912"/>
      <c r="F57" s="1912"/>
      <c r="G57" s="1913"/>
      <c r="H57" s="1"/>
      <c r="I57" s="1"/>
    </row>
    <row r="58" spans="1:9" s="2" customFormat="1" ht="15" customHeight="1">
      <c r="A58" s="1907">
        <v>24</v>
      </c>
      <c r="B58" s="1909" t="s">
        <v>1642</v>
      </c>
      <c r="C58" s="1909" t="s">
        <v>1643</v>
      </c>
      <c r="D58" s="1911">
        <f>SUM(E58+F58+G58)</f>
        <v>29768</v>
      </c>
      <c r="E58" s="1912">
        <f ca="1">'10.0중기사용료'!F400</f>
        <v>17696</v>
      </c>
      <c r="F58" s="1912">
        <f ca="1">'10.0중기사용료'!F398</f>
        <v>4036</v>
      </c>
      <c r="G58" s="1913">
        <f ca="1">'10.0중기사용료'!F402</f>
        <v>8036</v>
      </c>
      <c r="H58" s="1"/>
      <c r="I58" s="1"/>
    </row>
    <row r="59" spans="1:9" s="2" customFormat="1" ht="15" customHeight="1">
      <c r="A59" s="1908"/>
      <c r="B59" s="1909"/>
      <c r="C59" s="1910"/>
      <c r="D59" s="1911"/>
      <c r="E59" s="1912"/>
      <c r="F59" s="1912"/>
      <c r="G59" s="1913"/>
      <c r="H59" s="1"/>
      <c r="I59" s="1"/>
    </row>
    <row r="60" spans="1:9" s="2" customFormat="1" ht="15" customHeight="1">
      <c r="A60" s="1907">
        <v>24</v>
      </c>
      <c r="B60" s="1909" t="s">
        <v>1644</v>
      </c>
      <c r="C60" s="1909" t="s">
        <v>1645</v>
      </c>
      <c r="D60" s="1911">
        <f>SUM(E60+F60+G60)</f>
        <v>21808</v>
      </c>
      <c r="E60" s="1912"/>
      <c r="F60" s="1912"/>
      <c r="G60" s="1913">
        <f ca="1">'10.0중기사용료'!F450</f>
        <v>21808</v>
      </c>
      <c r="H60" s="1"/>
      <c r="I60" s="1"/>
    </row>
    <row r="61" spans="1:9" s="2" customFormat="1" ht="15" customHeight="1">
      <c r="A61" s="1908"/>
      <c r="B61" s="1909"/>
      <c r="C61" s="1910"/>
      <c r="D61" s="1911"/>
      <c r="E61" s="1912"/>
      <c r="F61" s="1912"/>
      <c r="G61" s="1913"/>
      <c r="H61" s="1"/>
      <c r="I61" s="1"/>
    </row>
    <row r="62" spans="1:9" s="2" customFormat="1" ht="15" customHeight="1">
      <c r="A62" s="1907">
        <v>24</v>
      </c>
      <c r="B62" s="1909"/>
      <c r="C62" s="1909"/>
      <c r="D62" s="1911">
        <f>SUM(E62+F62+G62)</f>
        <v>0</v>
      </c>
      <c r="E62" s="1912"/>
      <c r="F62" s="1912"/>
      <c r="G62" s="1913">
        <f ca="1">'10.0중기사용료'!F460</f>
        <v>0</v>
      </c>
      <c r="H62" s="1"/>
      <c r="I62" s="1"/>
    </row>
    <row r="63" spans="1:9" s="2" customFormat="1" ht="15" customHeight="1">
      <c r="A63" s="1908"/>
      <c r="B63" s="1909"/>
      <c r="C63" s="1910"/>
      <c r="D63" s="1911"/>
      <c r="E63" s="1912"/>
      <c r="F63" s="1912"/>
      <c r="G63" s="1913"/>
      <c r="H63" s="1"/>
      <c r="I63" s="1"/>
    </row>
    <row r="64" spans="1:9" s="2" customFormat="1" ht="15" customHeight="1">
      <c r="A64" s="1907"/>
      <c r="B64" s="1909"/>
      <c r="C64" s="1909"/>
      <c r="D64" s="1917"/>
      <c r="E64" s="1912"/>
      <c r="F64" s="1912"/>
      <c r="G64" s="1913"/>
      <c r="H64" s="1"/>
      <c r="I64" s="1"/>
    </row>
    <row r="65" spans="1:9" s="2" customFormat="1" ht="15" customHeight="1">
      <c r="A65" s="1932"/>
      <c r="B65" s="1933"/>
      <c r="C65" s="1934"/>
      <c r="D65" s="1935"/>
      <c r="E65" s="1930"/>
      <c r="F65" s="1930"/>
      <c r="G65" s="1931"/>
      <c r="H65" s="1"/>
      <c r="I65" s="1"/>
    </row>
    <row r="66" spans="1:9" ht="15" customHeight="1">
      <c r="B66" s="1"/>
      <c r="C66" s="1"/>
      <c r="D66" s="1"/>
      <c r="E66" s="1"/>
      <c r="F66" s="1"/>
      <c r="G66" s="1"/>
      <c r="H66" s="1"/>
      <c r="I66" s="1"/>
    </row>
    <row r="67" spans="1:9" ht="15" customHeight="1">
      <c r="B67" s="1"/>
      <c r="C67" s="1"/>
      <c r="D67" s="1"/>
      <c r="E67" s="1"/>
      <c r="F67" s="1"/>
      <c r="G67" s="1"/>
      <c r="H67" s="1"/>
      <c r="I67" s="1"/>
    </row>
    <row r="68" spans="1:9" ht="15" customHeight="1">
      <c r="B68" s="1"/>
      <c r="C68" s="1"/>
      <c r="D68" s="1"/>
      <c r="E68" s="1"/>
      <c r="F68" s="1"/>
      <c r="G68" s="1"/>
      <c r="H68" s="1"/>
      <c r="I68" s="1"/>
    </row>
    <row r="69" spans="1:9" ht="15" customHeight="1">
      <c r="B69" s="1"/>
      <c r="C69" s="1"/>
      <c r="D69" s="1"/>
      <c r="E69" s="1"/>
      <c r="F69" s="1"/>
      <c r="G69" s="1"/>
      <c r="H69" s="1"/>
      <c r="I69" s="1"/>
    </row>
    <row r="70" spans="1:9" ht="15" customHeight="1">
      <c r="B70" s="1"/>
      <c r="C70" s="1"/>
      <c r="D70" s="1"/>
      <c r="E70" s="1"/>
      <c r="F70" s="1"/>
      <c r="G70" s="1"/>
      <c r="H70" s="1"/>
      <c r="I70" s="1"/>
    </row>
    <row r="71" spans="1:9" ht="15" customHeight="1">
      <c r="B71" s="1"/>
      <c r="C71" s="1"/>
      <c r="D71" s="1"/>
      <c r="E71" s="1"/>
      <c r="F71" s="1"/>
      <c r="G71" s="1"/>
      <c r="H71" s="1"/>
      <c r="I71" s="1"/>
    </row>
    <row r="72" spans="1:9" ht="15" customHeight="1">
      <c r="B72" s="1"/>
      <c r="C72" s="1"/>
      <c r="D72" s="1"/>
      <c r="E72" s="1"/>
      <c r="F72" s="1"/>
      <c r="G72" s="1"/>
      <c r="H72" s="1"/>
      <c r="I72" s="1"/>
    </row>
    <row r="73" spans="1:9" ht="15" customHeight="1">
      <c r="B73" s="1"/>
      <c r="C73" s="1"/>
      <c r="D73" s="1"/>
      <c r="E73" s="1"/>
      <c r="F73" s="1"/>
      <c r="G73" s="1"/>
      <c r="H73" s="1"/>
      <c r="I73" s="1"/>
    </row>
    <row r="74" spans="1:9" ht="15" customHeight="1">
      <c r="B74" s="1"/>
      <c r="C74" s="1"/>
      <c r="D74" s="1"/>
      <c r="E74" s="1"/>
      <c r="F74" s="1"/>
      <c r="G74" s="1"/>
      <c r="H74" s="1"/>
      <c r="I74" s="1"/>
    </row>
    <row r="75" spans="1:9" ht="15" customHeight="1">
      <c r="B75" s="1"/>
      <c r="C75" s="1"/>
      <c r="D75" s="1"/>
      <c r="E75" s="1"/>
      <c r="F75" s="1"/>
      <c r="G75" s="1"/>
      <c r="H75" s="1"/>
      <c r="I75" s="1"/>
    </row>
    <row r="76" spans="1:9" ht="15" customHeight="1">
      <c r="B76" s="1"/>
      <c r="C76" s="1"/>
      <c r="D76" s="1"/>
      <c r="E76" s="1"/>
      <c r="F76" s="1"/>
      <c r="G76" s="1"/>
      <c r="H76" s="1"/>
      <c r="I76" s="1"/>
    </row>
    <row r="77" spans="1:9" ht="15" customHeight="1">
      <c r="B77" s="1"/>
      <c r="C77" s="1"/>
      <c r="D77" s="1"/>
      <c r="E77" s="1"/>
      <c r="F77" s="1"/>
      <c r="G77" s="1"/>
      <c r="H77" s="1"/>
      <c r="I77" s="1"/>
    </row>
    <row r="78" spans="1:9" ht="15" customHeight="1">
      <c r="B78" s="1"/>
      <c r="C78" s="1"/>
      <c r="D78" s="1"/>
      <c r="E78" s="1"/>
      <c r="F78" s="1"/>
      <c r="G78" s="1"/>
      <c r="H78" s="1"/>
      <c r="I78" s="1"/>
    </row>
    <row r="79" spans="1:9" ht="15" customHeight="1">
      <c r="B79" s="1"/>
      <c r="C79" s="1"/>
      <c r="D79" s="1"/>
      <c r="E79" s="1"/>
      <c r="F79" s="1"/>
      <c r="G79" s="1"/>
      <c r="H79" s="1"/>
      <c r="I79" s="1"/>
    </row>
    <row r="80" spans="1:9" ht="15" customHeight="1">
      <c r="B80" s="1"/>
      <c r="C80" s="1"/>
      <c r="D80" s="1"/>
      <c r="E80" s="1"/>
      <c r="F80" s="1"/>
      <c r="G80" s="1"/>
      <c r="H80" s="1"/>
      <c r="I80" s="1"/>
    </row>
    <row r="81" spans="2:9" ht="15" customHeight="1">
      <c r="B81" s="1"/>
      <c r="C81" s="1"/>
      <c r="D81" s="1"/>
      <c r="E81" s="1"/>
      <c r="F81" s="1"/>
      <c r="G81" s="1"/>
      <c r="H81" s="1"/>
      <c r="I81" s="1"/>
    </row>
    <row r="82" spans="2:9" ht="15" customHeight="1">
      <c r="B82" s="1"/>
      <c r="C82" s="1"/>
      <c r="D82" s="1"/>
      <c r="E82" s="1"/>
      <c r="F82" s="1"/>
      <c r="G82" s="1"/>
      <c r="H82" s="1"/>
      <c r="I82" s="1"/>
    </row>
    <row r="83" spans="2:9" ht="15" customHeight="1">
      <c r="B83" s="1"/>
      <c r="C83" s="1"/>
      <c r="D83" s="1"/>
      <c r="E83" s="1"/>
      <c r="F83" s="1"/>
      <c r="G83" s="1"/>
      <c r="H83" s="1"/>
      <c r="I83" s="1"/>
    </row>
    <row r="84" spans="2:9" ht="15" customHeight="1">
      <c r="B84" s="1"/>
      <c r="C84" s="1"/>
      <c r="D84" s="1"/>
      <c r="E84" s="1"/>
      <c r="F84" s="1"/>
      <c r="G84" s="1"/>
      <c r="H84" s="1"/>
      <c r="I84" s="1"/>
    </row>
    <row r="85" spans="2:9" ht="15" customHeight="1">
      <c r="B85" s="1"/>
      <c r="C85" s="1"/>
      <c r="D85" s="1"/>
      <c r="E85" s="1"/>
      <c r="F85" s="1"/>
      <c r="G85" s="1"/>
      <c r="H85" s="1"/>
      <c r="I85" s="1"/>
    </row>
    <row r="86" spans="2:9" ht="15" customHeight="1">
      <c r="B86" s="1"/>
      <c r="C86" s="1"/>
      <c r="D86" s="1"/>
      <c r="E86" s="1"/>
      <c r="F86" s="1"/>
      <c r="G86" s="1"/>
      <c r="H86" s="1"/>
      <c r="I86" s="1"/>
    </row>
    <row r="87" spans="2:9" ht="15" customHeight="1">
      <c r="B87" s="1"/>
      <c r="C87" s="1"/>
      <c r="D87" s="1"/>
      <c r="E87" s="1"/>
      <c r="F87" s="1"/>
      <c r="G87" s="1"/>
      <c r="H87" s="1"/>
      <c r="I87" s="1"/>
    </row>
    <row r="88" spans="2:9" ht="15" customHeight="1">
      <c r="B88" s="1"/>
      <c r="C88" s="1"/>
      <c r="D88" s="1"/>
      <c r="E88" s="1"/>
      <c r="F88" s="1"/>
      <c r="G88" s="1"/>
      <c r="H88" s="1"/>
      <c r="I88" s="1"/>
    </row>
    <row r="89" spans="2:9" ht="15" customHeight="1">
      <c r="B89" s="1"/>
      <c r="C89" s="1"/>
      <c r="D89" s="1"/>
      <c r="E89" s="1"/>
      <c r="F89" s="1"/>
      <c r="G89" s="1"/>
      <c r="H89" s="1"/>
      <c r="I89" s="1"/>
    </row>
    <row r="90" spans="2:9" ht="15" customHeight="1">
      <c r="B90" s="1"/>
      <c r="C90" s="1"/>
      <c r="D90" s="1"/>
      <c r="E90" s="1"/>
      <c r="F90" s="1"/>
      <c r="G90" s="1"/>
      <c r="H90" s="1"/>
      <c r="I90" s="1"/>
    </row>
    <row r="91" spans="2:9" ht="15" customHeight="1">
      <c r="B91" s="1"/>
      <c r="C91" s="1"/>
      <c r="D91" s="1"/>
      <c r="E91" s="1"/>
      <c r="F91" s="1"/>
      <c r="G91" s="1"/>
      <c r="H91" s="1"/>
      <c r="I91" s="1"/>
    </row>
    <row r="92" spans="2:9" ht="15" customHeight="1">
      <c r="B92" s="1"/>
      <c r="C92" s="1"/>
      <c r="D92" s="1"/>
      <c r="E92" s="1"/>
      <c r="F92" s="1"/>
      <c r="G92" s="1"/>
      <c r="H92" s="1"/>
      <c r="I92" s="1"/>
    </row>
    <row r="93" spans="2:9" ht="15" customHeight="1">
      <c r="B93" s="1"/>
      <c r="C93" s="1"/>
      <c r="D93" s="1"/>
      <c r="E93" s="1"/>
      <c r="F93" s="1"/>
      <c r="G93" s="1"/>
      <c r="H93" s="1"/>
      <c r="I93" s="1"/>
    </row>
    <row r="94" spans="2:9" ht="15" customHeight="1">
      <c r="B94" s="1"/>
      <c r="C94" s="1"/>
      <c r="D94" s="1"/>
      <c r="E94" s="1"/>
      <c r="F94" s="1"/>
      <c r="G94" s="1"/>
      <c r="H94" s="1"/>
      <c r="I94" s="1"/>
    </row>
    <row r="95" spans="2:9" ht="15" customHeight="1">
      <c r="B95" s="1"/>
      <c r="C95" s="1"/>
      <c r="D95" s="1"/>
      <c r="E95" s="1"/>
      <c r="F95" s="1"/>
      <c r="G95" s="1"/>
      <c r="H95" s="1"/>
      <c r="I95" s="1"/>
    </row>
    <row r="96" spans="2:9" ht="15" customHeight="1">
      <c r="B96" s="1"/>
      <c r="C96" s="1"/>
      <c r="D96" s="1"/>
      <c r="E96" s="1"/>
      <c r="F96" s="1"/>
      <c r="G96" s="1"/>
      <c r="H96" s="1"/>
      <c r="I96" s="1"/>
    </row>
    <row r="97" spans="2:9" ht="15" customHeight="1">
      <c r="B97" s="1"/>
      <c r="C97" s="1"/>
      <c r="D97" s="1"/>
      <c r="E97" s="1"/>
      <c r="F97" s="1"/>
      <c r="G97" s="1"/>
      <c r="H97" s="1"/>
      <c r="I97" s="1"/>
    </row>
    <row r="98" spans="2:9" ht="15" customHeight="1">
      <c r="B98" s="1"/>
      <c r="C98" s="1"/>
      <c r="D98" s="1"/>
      <c r="E98" s="1"/>
      <c r="F98" s="1"/>
      <c r="G98" s="1"/>
      <c r="H98" s="1"/>
      <c r="I98" s="1"/>
    </row>
    <row r="99" spans="2:9" ht="15" customHeight="1">
      <c r="B99" s="1"/>
      <c r="C99" s="1"/>
      <c r="D99" s="1"/>
      <c r="E99" s="1"/>
      <c r="F99" s="1"/>
      <c r="G99" s="1"/>
      <c r="H99" s="1"/>
      <c r="I99" s="1"/>
    </row>
    <row r="100" spans="2:9" ht="15" customHeight="1">
      <c r="B100" s="1"/>
      <c r="C100" s="1"/>
      <c r="D100" s="1"/>
      <c r="E100" s="1"/>
      <c r="F100" s="1"/>
      <c r="G100" s="1"/>
      <c r="H100" s="1"/>
      <c r="I100" s="1"/>
    </row>
    <row r="101" spans="2:9" ht="15" customHeight="1">
      <c r="B101" s="1"/>
      <c r="C101" s="1"/>
      <c r="D101" s="1"/>
      <c r="E101" s="1"/>
      <c r="F101" s="1"/>
      <c r="G101" s="1"/>
      <c r="H101" s="1"/>
      <c r="I101" s="1"/>
    </row>
    <row r="102" spans="2:9" ht="15" customHeight="1">
      <c r="B102" s="1"/>
      <c r="C102" s="1"/>
      <c r="D102" s="1"/>
      <c r="E102" s="1"/>
      <c r="F102" s="1"/>
      <c r="G102" s="1"/>
      <c r="H102" s="1"/>
      <c r="I102" s="1"/>
    </row>
    <row r="103" spans="2:9" ht="15" customHeight="1">
      <c r="B103" s="1"/>
      <c r="C103" s="1"/>
      <c r="D103" s="1"/>
      <c r="E103" s="1"/>
      <c r="F103" s="1"/>
      <c r="G103" s="1"/>
      <c r="H103" s="1"/>
      <c r="I103" s="1"/>
    </row>
    <row r="104" spans="2:9" ht="15" customHeight="1">
      <c r="B104" s="1"/>
      <c r="C104" s="1"/>
      <c r="D104" s="1"/>
      <c r="E104" s="1"/>
      <c r="F104" s="1"/>
      <c r="G104" s="1"/>
      <c r="H104" s="1"/>
      <c r="I104" s="1"/>
    </row>
    <row r="105" spans="2:9" ht="15" customHeight="1">
      <c r="B105" s="1"/>
      <c r="C105" s="1"/>
      <c r="D105" s="1"/>
      <c r="E105" s="1"/>
      <c r="F105" s="1"/>
      <c r="G105" s="1"/>
      <c r="H105" s="1"/>
      <c r="I105" s="1"/>
    </row>
    <row r="106" spans="2:9" ht="15" customHeight="1">
      <c r="B106" s="1"/>
      <c r="C106" s="1"/>
      <c r="D106" s="1"/>
      <c r="E106" s="1"/>
      <c r="F106" s="1"/>
      <c r="G106" s="1"/>
      <c r="H106" s="1"/>
      <c r="I106" s="1"/>
    </row>
    <row r="107" spans="2:9" ht="15" customHeight="1">
      <c r="B107" s="1"/>
      <c r="C107" s="1"/>
      <c r="D107" s="1"/>
      <c r="E107" s="1"/>
      <c r="F107" s="1"/>
      <c r="G107" s="1"/>
      <c r="H107" s="1"/>
      <c r="I107" s="1"/>
    </row>
    <row r="108" spans="2:9" ht="15" customHeight="1">
      <c r="B108" s="1"/>
      <c r="C108" s="1"/>
      <c r="D108" s="1"/>
      <c r="E108" s="1"/>
      <c r="F108" s="1"/>
      <c r="G108" s="1"/>
      <c r="H108" s="1"/>
      <c r="I108" s="1"/>
    </row>
    <row r="109" spans="2:9" ht="15" customHeight="1">
      <c r="B109" s="1"/>
      <c r="C109" s="1"/>
      <c r="D109" s="1"/>
      <c r="E109" s="1"/>
      <c r="F109" s="1"/>
      <c r="G109" s="1"/>
      <c r="H109" s="1"/>
      <c r="I109" s="1"/>
    </row>
    <row r="110" spans="2:9" ht="15" customHeight="1">
      <c r="B110" s="1"/>
      <c r="C110" s="1"/>
      <c r="D110" s="1"/>
      <c r="E110" s="1"/>
      <c r="F110" s="1"/>
      <c r="G110" s="1"/>
      <c r="H110" s="1"/>
      <c r="I110" s="1"/>
    </row>
    <row r="111" spans="2:9" ht="15" customHeight="1">
      <c r="B111" s="1"/>
      <c r="C111" s="1"/>
      <c r="D111" s="1"/>
      <c r="E111" s="1"/>
      <c r="F111" s="1"/>
      <c r="G111" s="1"/>
      <c r="H111" s="1"/>
      <c r="I111" s="1"/>
    </row>
    <row r="112" spans="2:9" ht="15" customHeight="1">
      <c r="B112" s="1"/>
      <c r="C112" s="1"/>
      <c r="D112" s="1"/>
      <c r="E112" s="1"/>
      <c r="F112" s="1"/>
      <c r="G112" s="1"/>
      <c r="H112" s="1"/>
      <c r="I112" s="1"/>
    </row>
    <row r="113" spans="2:9" ht="15" customHeight="1">
      <c r="B113" s="1"/>
      <c r="C113" s="1"/>
      <c r="D113" s="1"/>
      <c r="E113" s="1"/>
      <c r="F113" s="1"/>
      <c r="G113" s="1"/>
      <c r="H113" s="1"/>
      <c r="I113" s="1"/>
    </row>
    <row r="114" spans="2:9" ht="15" customHeight="1">
      <c r="B114" s="1"/>
      <c r="C114" s="1"/>
      <c r="D114" s="1"/>
      <c r="E114" s="1"/>
      <c r="F114" s="1"/>
      <c r="G114" s="1"/>
      <c r="H114" s="1"/>
      <c r="I114" s="1"/>
    </row>
    <row r="115" spans="2:9" ht="15" customHeight="1">
      <c r="B115" s="1"/>
      <c r="C115" s="1"/>
      <c r="D115" s="1"/>
      <c r="E115" s="1"/>
      <c r="F115" s="1"/>
      <c r="G115" s="1"/>
      <c r="H115" s="1"/>
      <c r="I115" s="1"/>
    </row>
    <row r="116" spans="2:9" ht="15" customHeight="1">
      <c r="B116" s="1"/>
      <c r="C116" s="1"/>
      <c r="D116" s="1"/>
      <c r="E116" s="1"/>
      <c r="F116" s="1"/>
      <c r="G116" s="1"/>
      <c r="H116" s="1"/>
      <c r="I116" s="1"/>
    </row>
    <row r="117" spans="2:9" ht="15" customHeight="1">
      <c r="B117" s="1"/>
      <c r="C117" s="1"/>
      <c r="D117" s="1"/>
      <c r="E117" s="1"/>
      <c r="F117" s="1"/>
      <c r="G117" s="1"/>
      <c r="H117" s="1"/>
      <c r="I117" s="1"/>
    </row>
    <row r="118" spans="2:9" ht="15" customHeight="1">
      <c r="B118" s="1"/>
      <c r="C118" s="1"/>
      <c r="D118" s="1"/>
      <c r="E118" s="1"/>
      <c r="F118" s="1"/>
      <c r="G118" s="1"/>
      <c r="H118" s="1"/>
      <c r="I118" s="1"/>
    </row>
    <row r="119" spans="2:9" ht="15" customHeight="1">
      <c r="B119" s="1"/>
      <c r="C119" s="1"/>
      <c r="D119" s="1"/>
      <c r="E119" s="1"/>
      <c r="F119" s="1"/>
      <c r="G119" s="1"/>
      <c r="H119" s="1"/>
      <c r="I119" s="1"/>
    </row>
    <row r="120" spans="2:9" ht="15" customHeight="1">
      <c r="B120" s="1"/>
      <c r="C120" s="1"/>
      <c r="D120" s="1"/>
      <c r="E120" s="1"/>
      <c r="F120" s="1"/>
      <c r="G120" s="1"/>
      <c r="H120" s="1"/>
      <c r="I120" s="1"/>
    </row>
    <row r="121" spans="2:9" ht="15" customHeight="1">
      <c r="B121" s="1"/>
      <c r="C121" s="1"/>
      <c r="D121" s="1"/>
      <c r="E121" s="1"/>
      <c r="F121" s="1"/>
      <c r="G121" s="1"/>
      <c r="H121" s="1"/>
      <c r="I121" s="1"/>
    </row>
    <row r="122" spans="2:9" ht="15" customHeight="1">
      <c r="B122" s="1"/>
      <c r="C122" s="1"/>
      <c r="D122" s="1"/>
      <c r="E122" s="1"/>
      <c r="F122" s="1"/>
      <c r="G122" s="1"/>
      <c r="H122" s="1"/>
      <c r="I122" s="1"/>
    </row>
    <row r="123" spans="2:9" ht="15" customHeight="1">
      <c r="B123" s="1"/>
      <c r="C123" s="1"/>
      <c r="D123" s="1"/>
      <c r="E123" s="1"/>
      <c r="F123" s="1"/>
      <c r="G123" s="1"/>
      <c r="H123" s="1"/>
      <c r="I123" s="1"/>
    </row>
    <row r="124" spans="2:9" ht="15" customHeight="1">
      <c r="B124" s="1"/>
      <c r="C124" s="1"/>
      <c r="D124" s="1"/>
      <c r="E124" s="1"/>
      <c r="F124" s="1"/>
      <c r="G124" s="1"/>
      <c r="H124" s="1"/>
      <c r="I124" s="1"/>
    </row>
    <row r="125" spans="2:9" ht="15" customHeight="1">
      <c r="B125" s="1"/>
      <c r="C125" s="1"/>
      <c r="D125" s="1"/>
      <c r="E125" s="1"/>
      <c r="F125" s="1"/>
      <c r="G125" s="1"/>
      <c r="H125" s="1"/>
      <c r="I125" s="1"/>
    </row>
    <row r="126" spans="2:9" ht="15" customHeight="1">
      <c r="B126" s="1"/>
      <c r="C126" s="1"/>
      <c r="D126" s="1"/>
      <c r="E126" s="1"/>
      <c r="F126" s="1"/>
      <c r="G126" s="1"/>
      <c r="H126" s="1"/>
      <c r="I126" s="1"/>
    </row>
    <row r="127" spans="2:9" ht="15" customHeight="1">
      <c r="B127" s="1"/>
      <c r="C127" s="1"/>
      <c r="D127" s="1"/>
      <c r="E127" s="1"/>
      <c r="F127" s="1"/>
      <c r="G127" s="1"/>
      <c r="H127" s="1"/>
      <c r="I127" s="1"/>
    </row>
    <row r="128" spans="2:9" ht="15" customHeight="1">
      <c r="B128" s="1"/>
      <c r="C128" s="1"/>
      <c r="D128" s="1"/>
      <c r="E128" s="1"/>
      <c r="F128" s="1"/>
      <c r="G128" s="1"/>
      <c r="H128" s="1"/>
      <c r="I128" s="1"/>
    </row>
    <row r="129" spans="2:9" ht="15" customHeight="1">
      <c r="B129" s="1"/>
      <c r="C129" s="1"/>
      <c r="D129" s="1"/>
      <c r="E129" s="1"/>
      <c r="F129" s="1"/>
      <c r="G129" s="1"/>
      <c r="H129" s="1"/>
      <c r="I129" s="1"/>
    </row>
    <row r="130" spans="2:9" ht="15" customHeight="1">
      <c r="B130" s="1"/>
      <c r="C130" s="1"/>
      <c r="D130" s="1"/>
      <c r="E130" s="1"/>
      <c r="F130" s="1"/>
      <c r="G130" s="1"/>
      <c r="H130" s="1"/>
      <c r="I130" s="1"/>
    </row>
    <row r="131" spans="2:9" ht="15" customHeight="1">
      <c r="B131" s="1"/>
      <c r="C131" s="1"/>
      <c r="D131" s="1"/>
      <c r="E131" s="1"/>
      <c r="F131" s="1"/>
      <c r="G131" s="1"/>
      <c r="H131" s="1"/>
      <c r="I131" s="1"/>
    </row>
    <row r="132" spans="2:9" ht="15" customHeight="1">
      <c r="B132" s="1"/>
      <c r="C132" s="1"/>
      <c r="D132" s="1"/>
      <c r="E132" s="1"/>
      <c r="F132" s="1"/>
      <c r="G132" s="1"/>
      <c r="H132" s="1"/>
      <c r="I132" s="1"/>
    </row>
    <row r="133" spans="2:9" ht="15" customHeight="1">
      <c r="B133" s="1"/>
      <c r="C133" s="1"/>
      <c r="D133" s="1"/>
      <c r="E133" s="1"/>
      <c r="F133" s="1"/>
      <c r="G133" s="1"/>
      <c r="H133" s="1"/>
      <c r="I133" s="1"/>
    </row>
    <row r="134" spans="2:9" ht="15" customHeight="1">
      <c r="B134" s="1"/>
      <c r="C134" s="1"/>
      <c r="D134" s="1"/>
      <c r="E134" s="1"/>
      <c r="F134" s="1"/>
      <c r="G134" s="1"/>
      <c r="H134" s="1"/>
      <c r="I134" s="1"/>
    </row>
    <row r="135" spans="2:9" ht="15" customHeight="1">
      <c r="B135" s="1"/>
      <c r="C135" s="1"/>
      <c r="D135" s="1"/>
      <c r="E135" s="1"/>
      <c r="F135" s="1"/>
      <c r="G135" s="1"/>
      <c r="H135" s="1"/>
      <c r="I135" s="1"/>
    </row>
    <row r="136" spans="2:9" ht="15" customHeight="1">
      <c r="B136" s="1"/>
      <c r="C136" s="1"/>
      <c r="D136" s="1"/>
      <c r="E136" s="1"/>
      <c r="F136" s="1"/>
      <c r="G136" s="1"/>
      <c r="H136" s="1"/>
      <c r="I136" s="1"/>
    </row>
    <row r="137" spans="2:9" ht="15" customHeight="1">
      <c r="B137" s="1"/>
      <c r="C137" s="1"/>
      <c r="D137" s="1"/>
      <c r="E137" s="1"/>
      <c r="F137" s="1"/>
      <c r="G137" s="1"/>
      <c r="H137" s="1"/>
      <c r="I137" s="1"/>
    </row>
    <row r="138" spans="2:9" ht="15" customHeight="1">
      <c r="B138" s="1"/>
      <c r="C138" s="1"/>
      <c r="D138" s="1"/>
      <c r="E138" s="1"/>
      <c r="F138" s="1"/>
      <c r="G138" s="1"/>
      <c r="H138" s="1"/>
      <c r="I138" s="1"/>
    </row>
    <row r="139" spans="2:9" ht="15" customHeight="1">
      <c r="B139" s="1"/>
      <c r="C139" s="1"/>
      <c r="D139" s="1"/>
      <c r="E139" s="1"/>
      <c r="F139" s="1"/>
      <c r="G139" s="1"/>
      <c r="H139" s="1"/>
      <c r="I139" s="1"/>
    </row>
    <row r="140" spans="2:9" ht="15" customHeight="1">
      <c r="B140" s="1"/>
      <c r="C140" s="1"/>
      <c r="D140" s="1"/>
      <c r="E140" s="1"/>
      <c r="F140" s="1"/>
      <c r="G140" s="1"/>
      <c r="H140" s="1"/>
      <c r="I140" s="1"/>
    </row>
    <row r="141" spans="2:9" ht="15" customHeight="1">
      <c r="B141" s="1"/>
      <c r="C141" s="1"/>
      <c r="D141" s="1"/>
      <c r="E141" s="1"/>
      <c r="F141" s="1"/>
      <c r="G141" s="1"/>
      <c r="H141" s="1"/>
      <c r="I141" s="1"/>
    </row>
    <row r="142" spans="2:9" ht="15" customHeight="1">
      <c r="B142" s="1"/>
      <c r="C142" s="1"/>
      <c r="D142" s="1"/>
      <c r="E142" s="1"/>
      <c r="F142" s="1"/>
      <c r="G142" s="1"/>
      <c r="H142" s="1"/>
      <c r="I142" s="1"/>
    </row>
    <row r="143" spans="2:9" ht="15" customHeight="1">
      <c r="B143" s="1"/>
      <c r="C143" s="1"/>
      <c r="D143" s="1"/>
      <c r="E143" s="1"/>
      <c r="F143" s="1"/>
      <c r="G143" s="1"/>
      <c r="H143" s="1"/>
      <c r="I143" s="1"/>
    </row>
    <row r="144" spans="2:9" ht="15" customHeight="1">
      <c r="B144" s="1"/>
      <c r="C144" s="1"/>
      <c r="D144" s="1"/>
      <c r="E144" s="1"/>
      <c r="F144" s="1"/>
      <c r="G144" s="1"/>
      <c r="H144" s="1"/>
      <c r="I144" s="1"/>
    </row>
    <row r="145" spans="2:9" ht="15" customHeight="1">
      <c r="B145" s="1"/>
      <c r="C145" s="1"/>
      <c r="D145" s="1"/>
      <c r="E145" s="1"/>
      <c r="F145" s="1"/>
      <c r="G145" s="1"/>
      <c r="H145" s="1"/>
      <c r="I145" s="1"/>
    </row>
    <row r="146" spans="2:9" ht="15" customHeight="1">
      <c r="B146" s="1"/>
      <c r="C146" s="1"/>
      <c r="D146" s="1"/>
      <c r="E146" s="1"/>
      <c r="F146" s="1"/>
      <c r="G146" s="1"/>
      <c r="H146" s="1"/>
      <c r="I146" s="1"/>
    </row>
    <row r="147" spans="2:9" ht="15" customHeight="1">
      <c r="B147" s="1"/>
      <c r="C147" s="1"/>
      <c r="D147" s="1"/>
      <c r="E147" s="1"/>
      <c r="F147" s="1"/>
      <c r="G147" s="1"/>
      <c r="H147" s="1"/>
      <c r="I147" s="1"/>
    </row>
    <row r="148" spans="2:9" ht="15" customHeight="1">
      <c r="B148" s="1"/>
      <c r="C148" s="1"/>
      <c r="D148" s="1"/>
      <c r="E148" s="1"/>
      <c r="F148" s="1"/>
      <c r="G148" s="1"/>
      <c r="H148" s="1"/>
      <c r="I148" s="1"/>
    </row>
    <row r="149" spans="2:9" ht="15" customHeight="1">
      <c r="B149" s="1"/>
      <c r="C149" s="1"/>
      <c r="D149" s="1"/>
      <c r="E149" s="1"/>
      <c r="F149" s="1"/>
      <c r="G149" s="1"/>
      <c r="H149" s="1"/>
      <c r="I149" s="1"/>
    </row>
    <row r="150" spans="2:9" ht="15" customHeight="1">
      <c r="B150" s="1"/>
      <c r="C150" s="1"/>
      <c r="D150" s="1"/>
      <c r="E150" s="1"/>
      <c r="F150" s="1"/>
      <c r="G150" s="1"/>
      <c r="H150" s="1"/>
      <c r="I150" s="1"/>
    </row>
    <row r="151" spans="2:9" ht="15" customHeight="1">
      <c r="B151" s="1"/>
      <c r="C151" s="1"/>
      <c r="D151" s="1"/>
      <c r="E151" s="1"/>
      <c r="F151" s="1"/>
      <c r="G151" s="1"/>
      <c r="H151" s="1"/>
      <c r="I151" s="1"/>
    </row>
    <row r="152" spans="2:9" ht="15" customHeight="1">
      <c r="B152" s="1"/>
      <c r="C152" s="1"/>
      <c r="D152" s="1"/>
      <c r="E152" s="1"/>
      <c r="F152" s="1"/>
      <c r="G152" s="1"/>
      <c r="H152" s="1"/>
      <c r="I152" s="1"/>
    </row>
    <row r="153" spans="2:9" ht="15" customHeight="1">
      <c r="B153" s="1"/>
      <c r="C153" s="1"/>
      <c r="D153" s="1"/>
      <c r="E153" s="1"/>
      <c r="F153" s="1"/>
      <c r="G153" s="1"/>
      <c r="H153" s="1"/>
      <c r="I153" s="1"/>
    </row>
    <row r="154" spans="2:9" ht="15" customHeight="1">
      <c r="B154" s="1"/>
      <c r="C154" s="1"/>
      <c r="D154" s="1"/>
      <c r="E154" s="1"/>
      <c r="F154" s="1"/>
      <c r="G154" s="1"/>
      <c r="H154" s="1"/>
      <c r="I154" s="1"/>
    </row>
    <row r="155" spans="2:9" ht="15" customHeight="1">
      <c r="B155" s="1"/>
      <c r="C155" s="1"/>
      <c r="D155" s="1"/>
      <c r="E155" s="1"/>
      <c r="F155" s="1"/>
      <c r="G155" s="1"/>
      <c r="H155" s="1"/>
      <c r="I155" s="1"/>
    </row>
    <row r="156" spans="2:9" ht="15" customHeight="1">
      <c r="B156" s="1"/>
      <c r="C156" s="1"/>
      <c r="D156" s="1"/>
      <c r="E156" s="1"/>
      <c r="F156" s="1"/>
      <c r="G156" s="1"/>
      <c r="H156" s="1"/>
      <c r="I156" s="1"/>
    </row>
    <row r="157" spans="2:9" ht="15" customHeight="1">
      <c r="B157" s="1"/>
      <c r="C157" s="1"/>
      <c r="D157" s="1"/>
      <c r="E157" s="1"/>
      <c r="F157" s="1"/>
      <c r="G157" s="1"/>
      <c r="H157" s="1"/>
      <c r="I157" s="1"/>
    </row>
    <row r="158" spans="2:9" ht="15" customHeight="1">
      <c r="B158" s="1"/>
      <c r="C158" s="1"/>
      <c r="D158" s="1"/>
      <c r="E158" s="1"/>
      <c r="F158" s="1"/>
      <c r="G158" s="1"/>
      <c r="H158" s="1"/>
      <c r="I158" s="1"/>
    </row>
    <row r="159" spans="2:9" ht="15" customHeight="1">
      <c r="B159" s="1"/>
      <c r="C159" s="1"/>
      <c r="D159" s="1"/>
      <c r="E159" s="1"/>
      <c r="F159" s="1"/>
      <c r="G159" s="1"/>
      <c r="H159" s="1"/>
      <c r="I159" s="1"/>
    </row>
    <row r="160" spans="2:9" ht="15" customHeight="1">
      <c r="B160" s="1"/>
      <c r="C160" s="1"/>
      <c r="D160" s="1"/>
      <c r="E160" s="1"/>
      <c r="F160" s="1"/>
      <c r="G160" s="1"/>
      <c r="H160" s="1"/>
      <c r="I160" s="1"/>
    </row>
    <row r="161" spans="2:9" ht="15" customHeight="1">
      <c r="B161" s="1"/>
      <c r="C161" s="1"/>
      <c r="D161" s="1"/>
      <c r="E161" s="1"/>
      <c r="F161" s="1"/>
      <c r="G161" s="1"/>
      <c r="H161" s="1"/>
      <c r="I161" s="1"/>
    </row>
    <row r="162" spans="2:9" ht="15" customHeight="1">
      <c r="B162" s="1"/>
      <c r="C162" s="1"/>
      <c r="D162" s="1"/>
      <c r="E162" s="1"/>
      <c r="F162" s="1"/>
      <c r="G162" s="1"/>
      <c r="H162" s="1"/>
      <c r="I162" s="1"/>
    </row>
    <row r="163" spans="2:9" ht="15" customHeight="1">
      <c r="B163" s="1"/>
      <c r="C163" s="1"/>
      <c r="D163" s="1"/>
      <c r="E163" s="1"/>
      <c r="F163" s="1"/>
      <c r="G163" s="1"/>
      <c r="H163" s="1"/>
      <c r="I163" s="1"/>
    </row>
    <row r="164" spans="2:9" ht="15" customHeight="1">
      <c r="B164" s="1"/>
      <c r="C164" s="1"/>
      <c r="D164" s="1"/>
      <c r="E164" s="1"/>
      <c r="F164" s="1"/>
      <c r="G164" s="1"/>
      <c r="H164" s="1"/>
      <c r="I164" s="1"/>
    </row>
    <row r="165" spans="2:9" ht="15" customHeight="1">
      <c r="B165" s="1"/>
      <c r="C165" s="1"/>
      <c r="D165" s="1"/>
      <c r="E165" s="1"/>
      <c r="F165" s="1"/>
      <c r="G165" s="1"/>
      <c r="H165" s="1"/>
      <c r="I165" s="1"/>
    </row>
    <row r="166" spans="2:9" ht="15" customHeight="1">
      <c r="B166" s="1"/>
      <c r="C166" s="1"/>
      <c r="D166" s="1"/>
      <c r="E166" s="1"/>
      <c r="F166" s="1"/>
      <c r="G166" s="1"/>
      <c r="H166" s="1"/>
      <c r="I166" s="1"/>
    </row>
    <row r="167" spans="2:9" ht="15" customHeight="1">
      <c r="B167" s="1"/>
      <c r="C167" s="1"/>
      <c r="D167" s="1"/>
      <c r="E167" s="1"/>
      <c r="F167" s="1"/>
      <c r="G167" s="1"/>
      <c r="H167" s="1"/>
      <c r="I167" s="1"/>
    </row>
    <row r="168" spans="2:9" ht="15" customHeight="1">
      <c r="B168" s="1"/>
      <c r="C168" s="1"/>
      <c r="D168" s="1"/>
      <c r="E168" s="1"/>
      <c r="F168" s="1"/>
      <c r="G168" s="1"/>
      <c r="H168" s="1"/>
      <c r="I168" s="1"/>
    </row>
    <row r="169" spans="2:9" ht="15" customHeight="1">
      <c r="B169" s="1"/>
      <c r="C169" s="1"/>
      <c r="D169" s="1"/>
      <c r="E169" s="1"/>
      <c r="F169" s="1"/>
      <c r="G169" s="1"/>
      <c r="H169" s="1"/>
      <c r="I169" s="1"/>
    </row>
    <row r="170" spans="2:9" ht="15" customHeight="1">
      <c r="B170" s="1"/>
      <c r="C170" s="1"/>
      <c r="D170" s="1"/>
      <c r="E170" s="1"/>
      <c r="F170" s="1"/>
      <c r="G170" s="1"/>
      <c r="H170" s="1"/>
      <c r="I170" s="1"/>
    </row>
    <row r="171" spans="2:9" ht="15" customHeight="1">
      <c r="B171" s="1"/>
      <c r="C171" s="1"/>
      <c r="D171" s="1"/>
      <c r="E171" s="1"/>
      <c r="F171" s="1"/>
      <c r="G171" s="1"/>
      <c r="H171" s="1"/>
      <c r="I171" s="1"/>
    </row>
    <row r="172" spans="2:9" ht="15" customHeight="1">
      <c r="B172" s="1"/>
      <c r="C172" s="1"/>
      <c r="D172" s="1"/>
      <c r="E172" s="1"/>
      <c r="F172" s="1"/>
      <c r="G172" s="1"/>
      <c r="H172" s="1"/>
      <c r="I172" s="1"/>
    </row>
    <row r="173" spans="2:9" ht="15" customHeight="1">
      <c r="B173" s="1"/>
      <c r="C173" s="1"/>
      <c r="D173" s="1"/>
      <c r="E173" s="1"/>
      <c r="F173" s="1"/>
      <c r="G173" s="1"/>
      <c r="H173" s="1"/>
      <c r="I173" s="1"/>
    </row>
    <row r="174" spans="2:9" ht="15" customHeight="1">
      <c r="B174" s="1"/>
      <c r="C174" s="1"/>
      <c r="D174" s="1"/>
      <c r="E174" s="1"/>
      <c r="F174" s="1"/>
      <c r="G174" s="1"/>
      <c r="H174" s="1"/>
      <c r="I174" s="1"/>
    </row>
    <row r="175" spans="2:9" ht="15" customHeight="1">
      <c r="B175" s="1"/>
      <c r="C175" s="1"/>
      <c r="D175" s="1"/>
      <c r="E175" s="1"/>
      <c r="F175" s="1"/>
      <c r="G175" s="1"/>
      <c r="H175" s="1"/>
      <c r="I175" s="1"/>
    </row>
    <row r="176" spans="2:9" ht="15" customHeight="1">
      <c r="B176" s="1"/>
      <c r="C176" s="1"/>
      <c r="D176" s="1"/>
      <c r="E176" s="1"/>
      <c r="F176" s="1"/>
      <c r="G176" s="1"/>
      <c r="H176" s="1"/>
      <c r="I176" s="1"/>
    </row>
    <row r="177" spans="2:9" ht="15" customHeight="1">
      <c r="B177" s="1"/>
      <c r="C177" s="1"/>
      <c r="D177" s="1"/>
      <c r="E177" s="1"/>
      <c r="F177" s="1"/>
      <c r="G177" s="1"/>
      <c r="H177" s="1"/>
      <c r="I177" s="1"/>
    </row>
    <row r="178" spans="2:9" ht="15" customHeight="1">
      <c r="B178" s="1"/>
      <c r="C178" s="1"/>
      <c r="D178" s="1"/>
      <c r="E178" s="1"/>
      <c r="F178" s="1"/>
      <c r="G178" s="1"/>
      <c r="H178" s="1"/>
      <c r="I178" s="1"/>
    </row>
    <row r="179" spans="2:9" ht="15" customHeight="1">
      <c r="B179" s="1"/>
      <c r="C179" s="1"/>
      <c r="D179" s="1"/>
      <c r="E179" s="1"/>
      <c r="F179" s="1"/>
      <c r="G179" s="1"/>
      <c r="H179" s="1"/>
      <c r="I179" s="1"/>
    </row>
    <row r="180" spans="2:9" ht="15" customHeight="1">
      <c r="B180" s="1"/>
      <c r="C180" s="1"/>
      <c r="D180" s="1"/>
      <c r="E180" s="1"/>
      <c r="F180" s="1"/>
      <c r="G180" s="1"/>
      <c r="H180" s="1"/>
      <c r="I180" s="1"/>
    </row>
    <row r="181" spans="2:9" ht="15" customHeight="1">
      <c r="B181" s="1"/>
      <c r="C181" s="1"/>
      <c r="D181" s="1"/>
      <c r="E181" s="1"/>
      <c r="F181" s="1"/>
      <c r="G181" s="1"/>
      <c r="H181" s="1"/>
      <c r="I181" s="1"/>
    </row>
    <row r="182" spans="2:9" ht="15" customHeight="1">
      <c r="B182" s="1"/>
      <c r="C182" s="1"/>
      <c r="D182" s="1"/>
      <c r="E182" s="1"/>
      <c r="F182" s="1"/>
      <c r="G182" s="1"/>
      <c r="H182" s="1"/>
      <c r="I182" s="1"/>
    </row>
    <row r="183" spans="2:9" ht="15" customHeight="1">
      <c r="B183" s="1"/>
      <c r="C183" s="1"/>
      <c r="D183" s="1"/>
      <c r="E183" s="1"/>
      <c r="F183" s="1"/>
      <c r="G183" s="1"/>
      <c r="H183" s="1"/>
      <c r="I183" s="1"/>
    </row>
    <row r="184" spans="2:9" ht="15" customHeight="1">
      <c r="B184" s="1"/>
      <c r="C184" s="1"/>
      <c r="D184" s="1"/>
      <c r="E184" s="1"/>
      <c r="F184" s="1"/>
      <c r="G184" s="1"/>
      <c r="H184" s="1"/>
      <c r="I184" s="1"/>
    </row>
    <row r="185" spans="2:9" ht="15" customHeight="1">
      <c r="B185" s="1"/>
      <c r="C185" s="1"/>
      <c r="D185" s="1"/>
      <c r="E185" s="1"/>
      <c r="F185" s="1"/>
      <c r="G185" s="1"/>
      <c r="H185" s="1"/>
      <c r="I185" s="1"/>
    </row>
    <row r="186" spans="2:9" ht="15" customHeight="1">
      <c r="B186" s="1"/>
      <c r="C186" s="1"/>
      <c r="D186" s="1"/>
      <c r="E186" s="1"/>
      <c r="F186" s="1"/>
      <c r="G186" s="1"/>
      <c r="H186" s="1"/>
      <c r="I186" s="1"/>
    </row>
    <row r="187" spans="2:9" ht="15" customHeight="1">
      <c r="B187" s="1"/>
      <c r="C187" s="1"/>
      <c r="D187" s="1"/>
      <c r="E187" s="1"/>
      <c r="F187" s="1"/>
      <c r="G187" s="1"/>
      <c r="H187" s="1"/>
      <c r="I187" s="1"/>
    </row>
    <row r="188" spans="2:9" ht="15" customHeight="1">
      <c r="B188" s="1"/>
      <c r="C188" s="1"/>
      <c r="D188" s="1"/>
      <c r="E188" s="1"/>
      <c r="F188" s="1"/>
      <c r="G188" s="1"/>
      <c r="H188" s="1"/>
      <c r="I188" s="1"/>
    </row>
    <row r="189" spans="2:9" ht="15" customHeight="1">
      <c r="B189" s="1"/>
      <c r="C189" s="1"/>
      <c r="D189" s="1"/>
      <c r="E189" s="1"/>
      <c r="F189" s="1"/>
      <c r="G189" s="1"/>
      <c r="H189" s="1"/>
      <c r="I189" s="1"/>
    </row>
    <row r="190" spans="2:9" ht="15" customHeight="1">
      <c r="B190" s="1"/>
      <c r="C190" s="1"/>
      <c r="D190" s="1"/>
      <c r="E190" s="1"/>
      <c r="F190" s="1"/>
      <c r="G190" s="1"/>
      <c r="H190" s="1"/>
      <c r="I190" s="1"/>
    </row>
    <row r="191" spans="2:9" ht="15" customHeight="1">
      <c r="B191" s="1"/>
      <c r="C191" s="1"/>
      <c r="D191" s="1"/>
      <c r="E191" s="1"/>
      <c r="F191" s="1"/>
      <c r="G191" s="1"/>
      <c r="H191" s="1"/>
      <c r="I191" s="1"/>
    </row>
    <row r="192" spans="2:9" ht="15" customHeight="1">
      <c r="B192" s="1"/>
      <c r="C192" s="1"/>
      <c r="D192" s="1"/>
      <c r="E192" s="1"/>
      <c r="F192" s="1"/>
      <c r="G192" s="1"/>
      <c r="H192" s="1"/>
      <c r="I192" s="1"/>
    </row>
    <row r="193" spans="2:9" ht="15" customHeight="1">
      <c r="B193" s="1"/>
      <c r="C193" s="1"/>
      <c r="D193" s="1"/>
      <c r="E193" s="1"/>
      <c r="F193" s="1"/>
      <c r="G193" s="1"/>
      <c r="H193" s="1"/>
      <c r="I193" s="1"/>
    </row>
    <row r="194" spans="2:9" ht="15" customHeight="1">
      <c r="B194" s="1"/>
      <c r="C194" s="1"/>
      <c r="D194" s="1"/>
      <c r="E194" s="1"/>
      <c r="F194" s="1"/>
      <c r="G194" s="1"/>
      <c r="H194" s="1"/>
      <c r="I194" s="1"/>
    </row>
    <row r="195" spans="2:9" ht="15" customHeight="1">
      <c r="B195" s="1"/>
      <c r="C195" s="1"/>
      <c r="D195" s="1"/>
      <c r="E195" s="1"/>
      <c r="F195" s="1"/>
      <c r="G195" s="1"/>
      <c r="H195" s="1"/>
      <c r="I195" s="1"/>
    </row>
    <row r="196" spans="2:9" ht="15" customHeight="1">
      <c r="B196" s="1"/>
      <c r="C196" s="1"/>
      <c r="D196" s="1"/>
      <c r="E196" s="1"/>
      <c r="F196" s="1"/>
      <c r="G196" s="1"/>
      <c r="H196" s="1"/>
      <c r="I196" s="1"/>
    </row>
    <row r="197" spans="2:9" ht="15" customHeight="1">
      <c r="B197" s="1"/>
      <c r="C197" s="1"/>
      <c r="D197" s="1"/>
      <c r="E197" s="1"/>
      <c r="F197" s="1"/>
      <c r="G197" s="1"/>
      <c r="H197" s="1"/>
      <c r="I197" s="1"/>
    </row>
    <row r="198" spans="2:9" ht="15" customHeight="1">
      <c r="B198" s="1"/>
      <c r="C198" s="1"/>
      <c r="D198" s="1"/>
      <c r="E198" s="1"/>
      <c r="F198" s="1"/>
      <c r="G198" s="1"/>
      <c r="H198" s="1"/>
      <c r="I198" s="1"/>
    </row>
    <row r="199" spans="2:9" ht="15" customHeight="1">
      <c r="B199" s="1"/>
      <c r="C199" s="1"/>
      <c r="D199" s="1"/>
      <c r="E199" s="1"/>
      <c r="F199" s="1"/>
      <c r="G199" s="1"/>
      <c r="H199" s="1"/>
      <c r="I199" s="1"/>
    </row>
    <row r="200" spans="2:9" ht="15" customHeight="1">
      <c r="B200" s="1"/>
      <c r="C200" s="1"/>
      <c r="D200" s="1"/>
      <c r="E200" s="1"/>
      <c r="F200" s="1"/>
      <c r="G200" s="1"/>
      <c r="H200" s="1"/>
      <c r="I200" s="1"/>
    </row>
    <row r="201" spans="2:9" ht="15" customHeight="1">
      <c r="B201" s="1"/>
      <c r="C201" s="1"/>
      <c r="D201" s="1"/>
      <c r="E201" s="1"/>
      <c r="F201" s="1"/>
      <c r="G201" s="1"/>
      <c r="H201" s="1"/>
      <c r="I201" s="1"/>
    </row>
    <row r="202" spans="2:9" ht="15" customHeight="1">
      <c r="B202" s="1"/>
      <c r="C202" s="1"/>
      <c r="D202" s="1"/>
      <c r="E202" s="1"/>
      <c r="F202" s="1"/>
      <c r="G202" s="1"/>
      <c r="H202" s="1"/>
      <c r="I202" s="1"/>
    </row>
    <row r="203" spans="2:9" ht="15" customHeight="1">
      <c r="B203" s="1"/>
      <c r="C203" s="1"/>
      <c r="D203" s="1"/>
      <c r="E203" s="1"/>
      <c r="F203" s="1"/>
      <c r="G203" s="1"/>
      <c r="H203" s="1"/>
      <c r="I203" s="1"/>
    </row>
    <row r="204" spans="2:9" ht="15" customHeight="1">
      <c r="B204" s="1"/>
      <c r="C204" s="1"/>
      <c r="D204" s="1"/>
      <c r="E204" s="1"/>
      <c r="F204" s="1"/>
      <c r="G204" s="1"/>
      <c r="H204" s="1"/>
      <c r="I204" s="1"/>
    </row>
    <row r="205" spans="2:9" ht="15" customHeight="1">
      <c r="B205" s="1"/>
      <c r="C205" s="1"/>
      <c r="D205" s="1"/>
      <c r="E205" s="1"/>
      <c r="F205" s="1"/>
      <c r="G205" s="1"/>
      <c r="H205" s="1"/>
      <c r="I205" s="1"/>
    </row>
    <row r="206" spans="2:9" ht="15" customHeight="1">
      <c r="B206" s="1"/>
      <c r="C206" s="1"/>
      <c r="D206" s="1"/>
      <c r="E206" s="1"/>
      <c r="F206" s="1"/>
      <c r="G206" s="1"/>
      <c r="H206" s="1"/>
      <c r="I206" s="1"/>
    </row>
    <row r="207" spans="2:9" ht="15" customHeight="1">
      <c r="B207" s="1"/>
      <c r="C207" s="1"/>
      <c r="D207" s="1"/>
      <c r="E207" s="1"/>
      <c r="F207" s="1"/>
      <c r="G207" s="1"/>
      <c r="H207" s="1"/>
      <c r="I207" s="1"/>
    </row>
    <row r="208" spans="2:9" ht="15" customHeight="1">
      <c r="B208" s="1"/>
      <c r="C208" s="1"/>
      <c r="D208" s="1"/>
      <c r="E208" s="1"/>
      <c r="F208" s="1"/>
      <c r="G208" s="1"/>
      <c r="H208" s="1"/>
      <c r="I208" s="1"/>
    </row>
    <row r="209" spans="2:9" ht="15" customHeight="1">
      <c r="B209" s="1"/>
      <c r="C209" s="1"/>
      <c r="D209" s="1"/>
      <c r="E209" s="1"/>
      <c r="F209" s="1"/>
      <c r="G209" s="1"/>
      <c r="H209" s="1"/>
      <c r="I209" s="1"/>
    </row>
    <row r="210" spans="2:9" ht="15" customHeight="1">
      <c r="B210" s="1"/>
      <c r="C210" s="1"/>
      <c r="D210" s="1"/>
      <c r="E210" s="1"/>
      <c r="F210" s="1"/>
      <c r="G210" s="1"/>
      <c r="H210" s="1"/>
      <c r="I210" s="1"/>
    </row>
    <row r="211" spans="2:9" ht="15" customHeight="1">
      <c r="B211" s="1"/>
      <c r="C211" s="1"/>
      <c r="D211" s="1"/>
      <c r="E211" s="1"/>
      <c r="F211" s="1"/>
      <c r="G211" s="1"/>
      <c r="H211" s="1"/>
      <c r="I211" s="1"/>
    </row>
    <row r="212" spans="2:9" ht="15" customHeight="1">
      <c r="B212" s="1"/>
      <c r="C212" s="1"/>
      <c r="D212" s="1"/>
      <c r="E212" s="1"/>
      <c r="F212" s="1"/>
      <c r="G212" s="1"/>
      <c r="H212" s="1"/>
      <c r="I212" s="1"/>
    </row>
    <row r="213" spans="2:9" ht="15" customHeight="1">
      <c r="B213" s="1"/>
      <c r="C213" s="1"/>
      <c r="D213" s="1"/>
      <c r="E213" s="1"/>
      <c r="F213" s="1"/>
      <c r="G213" s="1"/>
      <c r="H213" s="1"/>
      <c r="I213" s="1"/>
    </row>
    <row r="214" spans="2:9" ht="15" customHeight="1">
      <c r="B214" s="1"/>
      <c r="C214" s="1"/>
      <c r="D214" s="1"/>
      <c r="E214" s="1"/>
      <c r="F214" s="1"/>
      <c r="G214" s="1"/>
      <c r="H214" s="1"/>
      <c r="I214" s="1"/>
    </row>
    <row r="215" spans="2:9" ht="15" customHeight="1">
      <c r="B215" s="1"/>
      <c r="C215" s="1"/>
      <c r="D215" s="1"/>
      <c r="E215" s="1"/>
      <c r="F215" s="1"/>
      <c r="G215" s="1"/>
      <c r="H215" s="1"/>
      <c r="I215" s="1"/>
    </row>
    <row r="216" spans="2:9" ht="15" customHeight="1">
      <c r="B216" s="1"/>
      <c r="C216" s="1"/>
      <c r="D216" s="1"/>
      <c r="E216" s="1"/>
      <c r="F216" s="1"/>
      <c r="G216" s="1"/>
      <c r="H216" s="1"/>
      <c r="I216" s="1"/>
    </row>
    <row r="217" spans="2:9" ht="15" customHeight="1">
      <c r="B217" s="1"/>
      <c r="C217" s="1"/>
      <c r="D217" s="1"/>
      <c r="E217" s="1"/>
      <c r="F217" s="1"/>
      <c r="G217" s="1"/>
      <c r="H217" s="1"/>
      <c r="I217" s="1"/>
    </row>
    <row r="218" spans="2:9" ht="15" customHeight="1">
      <c r="B218" s="1"/>
      <c r="C218" s="1"/>
      <c r="D218" s="1"/>
      <c r="E218" s="1"/>
      <c r="F218" s="1"/>
      <c r="G218" s="1"/>
      <c r="H218" s="1"/>
      <c r="I218" s="1"/>
    </row>
    <row r="219" spans="2:9" ht="15" customHeight="1">
      <c r="B219" s="1"/>
      <c r="C219" s="1"/>
      <c r="D219" s="1"/>
      <c r="E219" s="1"/>
      <c r="F219" s="1"/>
      <c r="G219" s="1"/>
      <c r="H219" s="1"/>
      <c r="I219" s="1"/>
    </row>
    <row r="220" spans="2:9" ht="15" customHeight="1">
      <c r="B220" s="1"/>
      <c r="C220" s="1"/>
      <c r="D220" s="1"/>
      <c r="E220" s="1"/>
      <c r="F220" s="1"/>
      <c r="G220" s="1"/>
      <c r="H220" s="1"/>
      <c r="I220" s="1"/>
    </row>
    <row r="221" spans="2:9" ht="15" customHeight="1">
      <c r="B221" s="1"/>
      <c r="C221" s="1"/>
      <c r="D221" s="1"/>
      <c r="E221" s="1"/>
      <c r="F221" s="1"/>
      <c r="G221" s="1"/>
      <c r="H221" s="1"/>
      <c r="I221" s="1"/>
    </row>
    <row r="222" spans="2:9" ht="15" customHeight="1">
      <c r="B222" s="1"/>
      <c r="C222" s="1"/>
      <c r="D222" s="1"/>
      <c r="E222" s="1"/>
      <c r="F222" s="1"/>
      <c r="G222" s="1"/>
      <c r="H222" s="1"/>
      <c r="I222" s="1"/>
    </row>
    <row r="223" spans="2:9" ht="15" customHeight="1">
      <c r="B223" s="1"/>
      <c r="C223" s="1"/>
      <c r="D223" s="1"/>
      <c r="E223" s="1"/>
      <c r="F223" s="1"/>
      <c r="G223" s="1"/>
      <c r="H223" s="1"/>
      <c r="I223" s="1"/>
    </row>
    <row r="224" spans="2:9" ht="15" customHeight="1">
      <c r="B224" s="1"/>
      <c r="C224" s="1"/>
      <c r="D224" s="1"/>
      <c r="E224" s="1"/>
      <c r="F224" s="1"/>
      <c r="G224" s="1"/>
      <c r="H224" s="1"/>
      <c r="I224" s="1"/>
    </row>
    <row r="225" spans="2:9" ht="15" customHeight="1">
      <c r="B225" s="1"/>
      <c r="C225" s="1"/>
      <c r="D225" s="1"/>
      <c r="E225" s="1"/>
      <c r="F225" s="1"/>
      <c r="G225" s="1"/>
      <c r="H225" s="1"/>
      <c r="I225" s="1"/>
    </row>
    <row r="226" spans="2:9" ht="15" customHeight="1">
      <c r="B226" s="1"/>
      <c r="C226" s="1"/>
      <c r="D226" s="1"/>
      <c r="E226" s="1"/>
      <c r="F226" s="1"/>
      <c r="G226" s="1"/>
      <c r="H226" s="1"/>
      <c r="I226" s="1"/>
    </row>
    <row r="227" spans="2:9" ht="15" customHeight="1">
      <c r="B227" s="1"/>
      <c r="C227" s="1"/>
      <c r="D227" s="1"/>
      <c r="E227" s="1"/>
      <c r="F227" s="1"/>
      <c r="G227" s="1"/>
      <c r="H227" s="1"/>
      <c r="I227" s="1"/>
    </row>
    <row r="228" spans="2:9" ht="15" customHeight="1">
      <c r="B228" s="1"/>
      <c r="C228" s="1"/>
      <c r="D228" s="1"/>
      <c r="E228" s="1"/>
      <c r="F228" s="1"/>
      <c r="G228" s="1"/>
      <c r="H228" s="1"/>
      <c r="I228" s="1"/>
    </row>
    <row r="229" spans="2:9" ht="15" customHeight="1">
      <c r="B229" s="1"/>
      <c r="C229" s="1"/>
      <c r="D229" s="1"/>
      <c r="E229" s="1"/>
      <c r="F229" s="1"/>
      <c r="G229" s="1"/>
      <c r="H229" s="1"/>
      <c r="I229" s="1"/>
    </row>
    <row r="230" spans="2:9" ht="15" customHeight="1">
      <c r="B230" s="1"/>
      <c r="C230" s="1"/>
      <c r="D230" s="1"/>
      <c r="E230" s="1"/>
      <c r="F230" s="1"/>
      <c r="G230" s="1"/>
      <c r="H230" s="1"/>
      <c r="I230" s="1"/>
    </row>
    <row r="231" spans="2:9" ht="15" customHeight="1">
      <c r="B231" s="1"/>
      <c r="C231" s="1"/>
      <c r="D231" s="1"/>
      <c r="E231" s="1"/>
      <c r="F231" s="1"/>
      <c r="G231" s="1"/>
      <c r="H231" s="1"/>
      <c r="I231" s="1"/>
    </row>
    <row r="232" spans="2:9" ht="15" customHeight="1">
      <c r="B232" s="1"/>
      <c r="C232" s="1"/>
      <c r="D232" s="1"/>
      <c r="E232" s="1"/>
      <c r="F232" s="1"/>
      <c r="G232" s="1"/>
      <c r="H232" s="1"/>
      <c r="I232" s="1"/>
    </row>
    <row r="233" spans="2:9" ht="15" customHeight="1">
      <c r="B233" s="1"/>
      <c r="C233" s="1"/>
      <c r="D233" s="1"/>
      <c r="E233" s="1"/>
      <c r="F233" s="1"/>
      <c r="G233" s="1"/>
      <c r="H233" s="1"/>
      <c r="I233" s="1"/>
    </row>
    <row r="234" spans="2:9" ht="15" customHeight="1">
      <c r="B234" s="1"/>
      <c r="C234" s="1"/>
      <c r="D234" s="1"/>
      <c r="E234" s="1"/>
      <c r="F234" s="1"/>
      <c r="G234" s="1"/>
      <c r="H234" s="1"/>
      <c r="I234" s="1"/>
    </row>
    <row r="235" spans="2:9" ht="15" customHeight="1">
      <c r="B235" s="1"/>
      <c r="C235" s="1"/>
      <c r="D235" s="1"/>
      <c r="E235" s="1"/>
      <c r="F235" s="1"/>
      <c r="G235" s="1"/>
      <c r="H235" s="1"/>
      <c r="I235" s="1"/>
    </row>
    <row r="236" spans="2:9" ht="15" customHeight="1">
      <c r="B236" s="1"/>
      <c r="C236" s="1"/>
      <c r="D236" s="1"/>
      <c r="E236" s="1"/>
      <c r="F236" s="1"/>
      <c r="G236" s="1"/>
      <c r="H236" s="1"/>
      <c r="I236" s="1"/>
    </row>
    <row r="237" spans="2:9" ht="15" customHeight="1">
      <c r="B237" s="1"/>
      <c r="C237" s="1"/>
      <c r="D237" s="1"/>
      <c r="E237" s="1"/>
      <c r="F237" s="1"/>
      <c r="G237" s="1"/>
      <c r="H237" s="1"/>
      <c r="I237" s="1"/>
    </row>
    <row r="238" spans="2:9" ht="15" customHeight="1">
      <c r="B238" s="1"/>
      <c r="C238" s="1"/>
      <c r="D238" s="1"/>
      <c r="E238" s="1"/>
      <c r="F238" s="1"/>
      <c r="G238" s="1"/>
      <c r="H238" s="1"/>
      <c r="I238" s="1"/>
    </row>
    <row r="239" spans="2:9" ht="15" customHeight="1">
      <c r="B239" s="1"/>
      <c r="C239" s="1"/>
      <c r="D239" s="1"/>
      <c r="E239" s="1"/>
      <c r="F239" s="1"/>
      <c r="G239" s="1"/>
      <c r="H239" s="1"/>
      <c r="I239" s="1"/>
    </row>
    <row r="240" spans="2:9" ht="15" customHeight="1">
      <c r="B240" s="1"/>
      <c r="C240" s="1"/>
      <c r="D240" s="1"/>
      <c r="E240" s="1"/>
      <c r="F240" s="1"/>
      <c r="G240" s="1"/>
      <c r="H240" s="1"/>
      <c r="I240" s="1"/>
    </row>
    <row r="241" spans="2:9" ht="15" customHeight="1">
      <c r="B241" s="1"/>
      <c r="C241" s="1"/>
      <c r="D241" s="1"/>
      <c r="E241" s="1"/>
      <c r="F241" s="1"/>
      <c r="G241" s="1"/>
      <c r="H241" s="1"/>
      <c r="I241" s="1"/>
    </row>
    <row r="242" spans="2:9" ht="15" customHeight="1">
      <c r="B242" s="1"/>
      <c r="C242" s="1"/>
      <c r="D242" s="1"/>
      <c r="E242" s="1"/>
      <c r="F242" s="1"/>
      <c r="G242" s="1"/>
      <c r="H242" s="1"/>
      <c r="I242" s="1"/>
    </row>
    <row r="243" spans="2:9" ht="15" customHeight="1">
      <c r="B243" s="1"/>
      <c r="C243" s="1"/>
      <c r="D243" s="1"/>
      <c r="E243" s="1"/>
      <c r="F243" s="1"/>
      <c r="G243" s="1"/>
      <c r="H243" s="1"/>
      <c r="I243" s="1"/>
    </row>
    <row r="244" spans="2:9" ht="15" customHeight="1">
      <c r="B244" s="1"/>
      <c r="C244" s="1"/>
      <c r="D244" s="1"/>
      <c r="E244" s="1"/>
      <c r="F244" s="1"/>
      <c r="G244" s="1"/>
      <c r="H244" s="1"/>
      <c r="I244" s="1"/>
    </row>
    <row r="245" spans="2:9" ht="15" customHeight="1">
      <c r="B245" s="1"/>
      <c r="C245" s="1"/>
      <c r="D245" s="1"/>
      <c r="E245" s="1"/>
      <c r="F245" s="1"/>
      <c r="G245" s="1"/>
      <c r="H245" s="1"/>
      <c r="I245" s="1"/>
    </row>
    <row r="246" spans="2:9" ht="15" customHeight="1">
      <c r="B246" s="1"/>
      <c r="C246" s="1"/>
      <c r="D246" s="1"/>
      <c r="E246" s="1"/>
      <c r="F246" s="1"/>
      <c r="G246" s="1"/>
      <c r="H246" s="1"/>
      <c r="I246" s="1"/>
    </row>
    <row r="247" spans="2:9" ht="15" customHeight="1">
      <c r="B247" s="1"/>
      <c r="C247" s="1"/>
      <c r="D247" s="1"/>
      <c r="E247" s="1"/>
      <c r="F247" s="1"/>
      <c r="G247" s="1"/>
      <c r="H247" s="1"/>
      <c r="I247" s="1"/>
    </row>
    <row r="248" spans="2:9" ht="15" customHeight="1">
      <c r="B248" s="1"/>
      <c r="C248" s="1"/>
      <c r="D248" s="1"/>
      <c r="E248" s="1"/>
      <c r="F248" s="1"/>
      <c r="G248" s="1"/>
      <c r="H248" s="1"/>
      <c r="I248" s="1"/>
    </row>
    <row r="249" spans="2:9" ht="15" customHeight="1">
      <c r="B249" s="1"/>
      <c r="C249" s="1"/>
      <c r="D249" s="1"/>
      <c r="E249" s="1"/>
      <c r="F249" s="1"/>
      <c r="G249" s="1"/>
      <c r="H249" s="1"/>
      <c r="I249" s="1"/>
    </row>
    <row r="250" spans="2:9" ht="15" customHeight="1">
      <c r="B250" s="1"/>
      <c r="C250" s="1"/>
      <c r="D250" s="1"/>
      <c r="E250" s="1"/>
      <c r="F250" s="1"/>
      <c r="G250" s="1"/>
      <c r="H250" s="1"/>
      <c r="I250" s="1"/>
    </row>
    <row r="251" spans="2:9" ht="15" customHeight="1">
      <c r="B251" s="1"/>
      <c r="C251" s="1"/>
      <c r="D251" s="1"/>
      <c r="E251" s="1"/>
      <c r="F251" s="1"/>
      <c r="G251" s="1"/>
      <c r="H251" s="1"/>
      <c r="I251" s="1"/>
    </row>
    <row r="252" spans="2:9" ht="15" customHeight="1">
      <c r="B252" s="1"/>
      <c r="C252" s="1"/>
      <c r="D252" s="1"/>
      <c r="E252" s="1"/>
      <c r="F252" s="1"/>
      <c r="G252" s="1"/>
      <c r="H252" s="1"/>
      <c r="I252" s="1"/>
    </row>
    <row r="253" spans="2:9" ht="15" customHeight="1">
      <c r="B253" s="1"/>
      <c r="C253" s="1"/>
      <c r="D253" s="1"/>
      <c r="E253" s="1"/>
      <c r="F253" s="1"/>
      <c r="G253" s="1"/>
      <c r="H253" s="1"/>
      <c r="I253" s="1"/>
    </row>
    <row r="254" spans="2:9" ht="15" customHeight="1">
      <c r="B254" s="1"/>
      <c r="C254" s="1"/>
      <c r="D254" s="1"/>
      <c r="E254" s="1"/>
      <c r="F254" s="1"/>
      <c r="G254" s="1"/>
      <c r="H254" s="1"/>
      <c r="I254" s="1"/>
    </row>
    <row r="255" spans="2:9" ht="15" customHeight="1">
      <c r="B255" s="1"/>
      <c r="C255" s="1"/>
      <c r="D255" s="1"/>
      <c r="E255" s="1"/>
      <c r="F255" s="1"/>
      <c r="G255" s="1"/>
      <c r="H255" s="1"/>
      <c r="I255" s="1"/>
    </row>
    <row r="256" spans="2:9" ht="15" customHeight="1">
      <c r="B256" s="1"/>
      <c r="C256" s="1"/>
      <c r="D256" s="1"/>
      <c r="E256" s="1"/>
      <c r="F256" s="1"/>
      <c r="G256" s="1"/>
      <c r="H256" s="1"/>
      <c r="I256" s="1"/>
    </row>
    <row r="257" spans="2:9" ht="15" customHeight="1">
      <c r="B257" s="1"/>
      <c r="C257" s="1"/>
      <c r="D257" s="1"/>
      <c r="E257" s="1"/>
      <c r="F257" s="1"/>
      <c r="G257" s="1"/>
      <c r="H257" s="1"/>
      <c r="I257" s="1"/>
    </row>
    <row r="258" spans="2:9" ht="15" customHeight="1">
      <c r="B258" s="1"/>
      <c r="C258" s="1"/>
      <c r="D258" s="1"/>
      <c r="E258" s="1"/>
      <c r="F258" s="1"/>
      <c r="G258" s="1"/>
      <c r="H258" s="1"/>
      <c r="I258" s="1"/>
    </row>
    <row r="259" spans="2:9" ht="15" customHeight="1">
      <c r="B259" s="1"/>
      <c r="C259" s="1"/>
      <c r="D259" s="1"/>
      <c r="E259" s="1"/>
      <c r="F259" s="1"/>
      <c r="G259" s="1"/>
      <c r="H259" s="1"/>
      <c r="I259" s="1"/>
    </row>
    <row r="260" spans="2:9" ht="15" customHeight="1">
      <c r="B260" s="1"/>
      <c r="C260" s="1"/>
      <c r="D260" s="1"/>
      <c r="E260" s="1"/>
      <c r="F260" s="1"/>
      <c r="G260" s="1"/>
      <c r="H260" s="1"/>
      <c r="I260" s="1"/>
    </row>
    <row r="261" spans="2:9" ht="15" customHeight="1">
      <c r="B261" s="1"/>
      <c r="C261" s="1"/>
      <c r="D261" s="1"/>
      <c r="E261" s="1"/>
      <c r="F261" s="1"/>
      <c r="G261" s="1"/>
      <c r="H261" s="1"/>
      <c r="I261" s="1"/>
    </row>
    <row r="262" spans="2:9" ht="15" customHeight="1">
      <c r="B262" s="1"/>
      <c r="C262" s="1"/>
      <c r="D262" s="1"/>
      <c r="E262" s="1"/>
      <c r="F262" s="1"/>
      <c r="G262" s="1"/>
      <c r="H262" s="1"/>
      <c r="I262" s="1"/>
    </row>
    <row r="263" spans="2:9" ht="15" customHeight="1">
      <c r="B263" s="1"/>
      <c r="C263" s="1"/>
      <c r="D263" s="1"/>
      <c r="E263" s="1"/>
      <c r="F263" s="1"/>
      <c r="G263" s="1"/>
      <c r="H263" s="1"/>
      <c r="I263" s="1"/>
    </row>
    <row r="264" spans="2:9" ht="15" customHeight="1">
      <c r="B264" s="1"/>
      <c r="C264" s="1"/>
      <c r="D264" s="1"/>
      <c r="E264" s="1"/>
      <c r="F264" s="1"/>
      <c r="G264" s="1"/>
      <c r="H264" s="1"/>
      <c r="I264" s="1"/>
    </row>
    <row r="265" spans="2:9" ht="15" customHeight="1">
      <c r="B265" s="1"/>
      <c r="C265" s="1"/>
      <c r="D265" s="1"/>
      <c r="E265" s="1"/>
      <c r="F265" s="1"/>
      <c r="G265" s="1"/>
      <c r="H265" s="1"/>
      <c r="I265" s="1"/>
    </row>
    <row r="266" spans="2:9" ht="15" customHeight="1">
      <c r="B266" s="1"/>
      <c r="C266" s="1"/>
      <c r="D266" s="1"/>
      <c r="E266" s="1"/>
      <c r="F266" s="1"/>
      <c r="G266" s="1"/>
      <c r="H266" s="1"/>
      <c r="I266" s="1"/>
    </row>
    <row r="267" spans="2:9" ht="15" customHeight="1">
      <c r="B267" s="1"/>
      <c r="C267" s="1"/>
      <c r="D267" s="1"/>
      <c r="E267" s="1"/>
      <c r="F267" s="1"/>
      <c r="G267" s="1"/>
      <c r="H267" s="1"/>
      <c r="I267" s="1"/>
    </row>
    <row r="268" spans="2:9" ht="15" customHeight="1">
      <c r="B268" s="1"/>
      <c r="C268" s="1"/>
      <c r="D268" s="1"/>
      <c r="E268" s="1"/>
      <c r="F268" s="1"/>
      <c r="G268" s="1"/>
      <c r="H268" s="1"/>
      <c r="I268" s="1"/>
    </row>
    <row r="269" spans="2:9" ht="15" customHeight="1">
      <c r="B269" s="1"/>
      <c r="C269" s="1"/>
      <c r="D269" s="1"/>
      <c r="E269" s="1"/>
      <c r="F269" s="1"/>
      <c r="G269" s="1"/>
      <c r="H269" s="1"/>
      <c r="I269" s="1"/>
    </row>
    <row r="270" spans="2:9" ht="15" customHeight="1">
      <c r="B270" s="1"/>
      <c r="C270" s="1"/>
      <c r="D270" s="1"/>
      <c r="E270" s="1"/>
      <c r="F270" s="1"/>
      <c r="G270" s="1"/>
      <c r="H270" s="1"/>
      <c r="I270" s="1"/>
    </row>
    <row r="271" spans="2:9" ht="15" customHeight="1">
      <c r="B271" s="1"/>
      <c r="C271" s="1"/>
      <c r="D271" s="1"/>
      <c r="E271" s="1"/>
      <c r="F271" s="1"/>
      <c r="G271" s="1"/>
      <c r="H271" s="1"/>
      <c r="I271" s="1"/>
    </row>
    <row r="272" spans="2:9" ht="15" customHeight="1">
      <c r="B272" s="1"/>
      <c r="C272" s="1"/>
      <c r="D272" s="1"/>
      <c r="E272" s="1"/>
      <c r="F272" s="1"/>
      <c r="G272" s="1"/>
      <c r="H272" s="1"/>
      <c r="I272" s="1"/>
    </row>
    <row r="273" spans="2:9" ht="15" customHeight="1">
      <c r="B273" s="1"/>
      <c r="C273" s="1"/>
      <c r="D273" s="1"/>
      <c r="E273" s="1"/>
      <c r="F273" s="1"/>
      <c r="G273" s="1"/>
      <c r="H273" s="1"/>
      <c r="I273" s="1"/>
    </row>
    <row r="274" spans="2:9" ht="15" customHeight="1">
      <c r="B274" s="1"/>
      <c r="C274" s="1"/>
      <c r="D274" s="1"/>
      <c r="E274" s="1"/>
      <c r="F274" s="1"/>
      <c r="G274" s="1"/>
      <c r="H274" s="1"/>
      <c r="I274" s="1"/>
    </row>
    <row r="275" spans="2:9" ht="15" customHeight="1">
      <c r="B275" s="1"/>
      <c r="C275" s="1"/>
      <c r="D275" s="1"/>
      <c r="E275" s="1"/>
      <c r="F275" s="1"/>
      <c r="G275" s="1"/>
      <c r="H275" s="1"/>
      <c r="I275" s="1"/>
    </row>
    <row r="276" spans="2:9" ht="15" customHeight="1">
      <c r="B276" s="1"/>
      <c r="C276" s="1"/>
      <c r="D276" s="1"/>
      <c r="E276" s="1"/>
      <c r="F276" s="1"/>
      <c r="G276" s="1"/>
      <c r="H276" s="1"/>
      <c r="I276" s="1"/>
    </row>
    <row r="277" spans="2:9" ht="15" customHeight="1">
      <c r="B277" s="1"/>
      <c r="C277" s="1"/>
      <c r="D277" s="1"/>
      <c r="E277" s="1"/>
      <c r="F277" s="1"/>
      <c r="G277" s="1"/>
      <c r="H277" s="1"/>
      <c r="I277" s="1"/>
    </row>
    <row r="278" spans="2:9" ht="15" customHeight="1">
      <c r="B278" s="1"/>
      <c r="C278" s="1"/>
      <c r="D278" s="1"/>
      <c r="E278" s="1"/>
      <c r="F278" s="1"/>
      <c r="G278" s="1"/>
      <c r="H278" s="1"/>
      <c r="I278" s="1"/>
    </row>
    <row r="279" spans="2:9" ht="15" customHeight="1">
      <c r="B279" s="1"/>
      <c r="C279" s="1"/>
      <c r="D279" s="1"/>
      <c r="E279" s="1"/>
      <c r="F279" s="1"/>
      <c r="G279" s="1"/>
      <c r="H279" s="1"/>
      <c r="I279" s="1"/>
    </row>
    <row r="280" spans="2:9" ht="15" customHeight="1">
      <c r="B280" s="1"/>
      <c r="C280" s="1"/>
      <c r="D280" s="1"/>
      <c r="E280" s="1"/>
      <c r="F280" s="1"/>
      <c r="G280" s="1"/>
      <c r="H280" s="1"/>
      <c r="I280" s="1"/>
    </row>
    <row r="281" spans="2:9" ht="15" customHeight="1">
      <c r="B281" s="1"/>
      <c r="C281" s="1"/>
      <c r="D281" s="1"/>
      <c r="E281" s="1"/>
      <c r="F281" s="1"/>
      <c r="G281" s="1"/>
      <c r="H281" s="1"/>
      <c r="I281" s="1"/>
    </row>
    <row r="282" spans="2:9" ht="15" customHeight="1">
      <c r="B282" s="1"/>
      <c r="C282" s="1"/>
      <c r="D282" s="1"/>
      <c r="E282" s="1"/>
      <c r="F282" s="1"/>
      <c r="G282" s="1"/>
      <c r="H282" s="1"/>
      <c r="I282" s="1"/>
    </row>
    <row r="283" spans="2:9" ht="15" customHeight="1">
      <c r="B283" s="1"/>
      <c r="C283" s="1"/>
      <c r="D283" s="1"/>
      <c r="E283" s="1"/>
      <c r="F283" s="1"/>
      <c r="G283" s="1"/>
      <c r="H283" s="1"/>
      <c r="I283" s="1"/>
    </row>
    <row r="284" spans="2:9" ht="15" customHeight="1">
      <c r="B284" s="1"/>
      <c r="C284" s="1"/>
      <c r="D284" s="1"/>
      <c r="E284" s="1"/>
      <c r="F284" s="1"/>
      <c r="G284" s="1"/>
      <c r="H284" s="1"/>
      <c r="I284" s="1"/>
    </row>
    <row r="285" spans="2:9" ht="15" customHeight="1">
      <c r="B285" s="1"/>
      <c r="C285" s="1"/>
      <c r="D285" s="1"/>
      <c r="E285" s="1"/>
      <c r="F285" s="1"/>
      <c r="G285" s="1"/>
      <c r="H285" s="1"/>
      <c r="I285" s="1"/>
    </row>
    <row r="286" spans="2:9" ht="15" customHeight="1">
      <c r="B286" s="1"/>
      <c r="C286" s="1"/>
      <c r="D286" s="1"/>
      <c r="E286" s="1"/>
      <c r="F286" s="1"/>
      <c r="G286" s="1"/>
      <c r="H286" s="1"/>
      <c r="I286" s="1"/>
    </row>
    <row r="287" spans="2:9" ht="15" customHeight="1">
      <c r="B287" s="1"/>
      <c r="C287" s="1"/>
      <c r="D287" s="1"/>
      <c r="E287" s="1"/>
      <c r="F287" s="1"/>
      <c r="G287" s="1"/>
      <c r="H287" s="1"/>
      <c r="I287" s="1"/>
    </row>
    <row r="288" spans="2:9" ht="15" customHeight="1">
      <c r="B288" s="1"/>
      <c r="C288" s="1"/>
      <c r="D288" s="1"/>
      <c r="E288" s="1"/>
      <c r="F288" s="1"/>
      <c r="G288" s="1"/>
      <c r="H288" s="1"/>
      <c r="I288" s="1"/>
    </row>
    <row r="289" spans="2:9" ht="15" customHeight="1">
      <c r="B289" s="1"/>
      <c r="C289" s="1"/>
      <c r="D289" s="1"/>
      <c r="E289" s="1"/>
      <c r="F289" s="1"/>
      <c r="G289" s="1"/>
      <c r="H289" s="1"/>
      <c r="I289" s="1"/>
    </row>
    <row r="290" spans="2:9" ht="15" customHeight="1">
      <c r="B290" s="1"/>
      <c r="C290" s="1"/>
      <c r="D290" s="1"/>
      <c r="E290" s="1"/>
      <c r="F290" s="1"/>
      <c r="G290" s="1"/>
      <c r="H290" s="1"/>
      <c r="I290" s="1"/>
    </row>
    <row r="291" spans="2:9" ht="15" customHeight="1">
      <c r="B291" s="1"/>
      <c r="C291" s="1"/>
      <c r="D291" s="1"/>
      <c r="E291" s="1"/>
      <c r="F291" s="1"/>
      <c r="G291" s="1"/>
      <c r="H291" s="1"/>
      <c r="I291" s="1"/>
    </row>
    <row r="292" spans="2:9" ht="15" customHeight="1">
      <c r="B292" s="1"/>
      <c r="C292" s="1"/>
      <c r="D292" s="1"/>
      <c r="E292" s="1"/>
      <c r="F292" s="1"/>
      <c r="G292" s="1"/>
      <c r="H292" s="1"/>
      <c r="I292" s="1"/>
    </row>
    <row r="293" spans="2:9" ht="15" customHeight="1">
      <c r="B293" s="1"/>
      <c r="C293" s="1"/>
      <c r="D293" s="1"/>
      <c r="E293" s="1"/>
      <c r="F293" s="1"/>
      <c r="G293" s="1"/>
      <c r="H293" s="1"/>
      <c r="I293" s="1"/>
    </row>
    <row r="294" spans="2:9" ht="15" customHeight="1">
      <c r="B294" s="1"/>
      <c r="C294" s="1"/>
      <c r="D294" s="1"/>
      <c r="E294" s="1"/>
      <c r="F294" s="1"/>
      <c r="G294" s="1"/>
      <c r="H294" s="1"/>
      <c r="I294" s="1"/>
    </row>
    <row r="295" spans="2:9" ht="15" customHeight="1">
      <c r="B295" s="1"/>
      <c r="C295" s="1"/>
      <c r="D295" s="1"/>
      <c r="E295" s="1"/>
      <c r="F295" s="1"/>
      <c r="G295" s="1"/>
      <c r="H295" s="1"/>
      <c r="I295" s="1"/>
    </row>
    <row r="296" spans="2:9" ht="15" customHeight="1">
      <c r="B296" s="1"/>
      <c r="C296" s="1"/>
      <c r="D296" s="1"/>
      <c r="E296" s="1"/>
      <c r="F296" s="1"/>
      <c r="G296" s="1"/>
      <c r="H296" s="1"/>
      <c r="I296" s="1"/>
    </row>
    <row r="297" spans="2:9" ht="15" customHeight="1">
      <c r="B297" s="1"/>
      <c r="C297" s="1"/>
      <c r="D297" s="1"/>
      <c r="E297" s="1"/>
      <c r="F297" s="1"/>
      <c r="G297" s="1"/>
      <c r="H297" s="1"/>
      <c r="I297" s="1"/>
    </row>
    <row r="298" spans="2:9" ht="15" customHeight="1">
      <c r="B298" s="1"/>
      <c r="C298" s="1"/>
      <c r="D298" s="1"/>
      <c r="E298" s="1"/>
      <c r="F298" s="1"/>
      <c r="G298" s="1"/>
      <c r="H298" s="1"/>
      <c r="I298" s="1"/>
    </row>
    <row r="299" spans="2:9" ht="15" customHeight="1">
      <c r="B299" s="1"/>
      <c r="C299" s="1"/>
      <c r="D299" s="1"/>
      <c r="E299" s="1"/>
      <c r="F299" s="1"/>
      <c r="G299" s="1"/>
      <c r="H299" s="1"/>
      <c r="I299" s="1"/>
    </row>
    <row r="300" spans="2:9" ht="15" customHeight="1">
      <c r="B300" s="1"/>
      <c r="C300" s="1"/>
      <c r="D300" s="1"/>
      <c r="E300" s="1"/>
      <c r="F300" s="1"/>
      <c r="G300" s="1"/>
      <c r="H300" s="1"/>
      <c r="I300" s="1"/>
    </row>
    <row r="301" spans="2:9" ht="15" customHeight="1">
      <c r="B301" s="1"/>
      <c r="C301" s="1"/>
      <c r="D301" s="1"/>
      <c r="E301" s="1"/>
      <c r="F301" s="1"/>
      <c r="G301" s="1"/>
      <c r="H301" s="1"/>
      <c r="I301" s="1"/>
    </row>
    <row r="302" spans="2:9" ht="15" customHeight="1">
      <c r="B302" s="1"/>
      <c r="C302" s="1"/>
      <c r="D302" s="1"/>
      <c r="E302" s="1"/>
      <c r="F302" s="1"/>
      <c r="G302" s="1"/>
      <c r="H302" s="1"/>
      <c r="I302" s="1"/>
    </row>
    <row r="303" spans="2:9" ht="15" customHeight="1">
      <c r="B303" s="1"/>
      <c r="C303" s="1"/>
      <c r="D303" s="1"/>
      <c r="E303" s="1"/>
      <c r="F303" s="1"/>
      <c r="G303" s="1"/>
      <c r="H303" s="1"/>
      <c r="I303" s="1"/>
    </row>
    <row r="304" spans="2:9" ht="15" customHeight="1">
      <c r="B304" s="1"/>
      <c r="C304" s="1"/>
      <c r="D304" s="1"/>
      <c r="E304" s="1"/>
      <c r="F304" s="1"/>
      <c r="G304" s="1"/>
      <c r="H304" s="1"/>
      <c r="I304" s="1"/>
    </row>
    <row r="305" spans="2:9" ht="15" customHeight="1">
      <c r="B305" s="1"/>
      <c r="C305" s="1"/>
      <c r="D305" s="1"/>
      <c r="E305" s="1"/>
      <c r="F305" s="1"/>
      <c r="G305" s="1"/>
      <c r="H305" s="1"/>
      <c r="I305" s="1"/>
    </row>
    <row r="306" spans="2:9" ht="15" customHeight="1">
      <c r="B306" s="1"/>
      <c r="C306" s="1"/>
      <c r="D306" s="1"/>
      <c r="E306" s="1"/>
      <c r="F306" s="1"/>
      <c r="G306" s="1"/>
      <c r="H306" s="1"/>
      <c r="I306" s="1"/>
    </row>
    <row r="307" spans="2:9" ht="15" customHeight="1">
      <c r="B307" s="1"/>
      <c r="C307" s="1"/>
      <c r="D307" s="1"/>
      <c r="E307" s="1"/>
      <c r="F307" s="1"/>
      <c r="G307" s="1"/>
      <c r="H307" s="1"/>
      <c r="I307" s="1"/>
    </row>
    <row r="308" spans="2:9" ht="15" customHeight="1">
      <c r="B308" s="1"/>
      <c r="C308" s="1"/>
      <c r="D308" s="1"/>
      <c r="E308" s="1"/>
      <c r="F308" s="1"/>
      <c r="G308" s="1"/>
      <c r="H308" s="1"/>
      <c r="I308" s="1"/>
    </row>
    <row r="309" spans="2:9" ht="15" customHeight="1">
      <c r="B309" s="1"/>
      <c r="C309" s="1"/>
      <c r="D309" s="1"/>
      <c r="E309" s="1"/>
      <c r="F309" s="1"/>
      <c r="G309" s="1"/>
      <c r="H309" s="1"/>
      <c r="I309" s="1"/>
    </row>
    <row r="310" spans="2:9" ht="15" customHeight="1">
      <c r="B310" s="1"/>
      <c r="C310" s="1"/>
      <c r="D310" s="1"/>
      <c r="E310" s="1"/>
      <c r="F310" s="1"/>
      <c r="G310" s="1"/>
      <c r="H310" s="1"/>
      <c r="I310" s="1"/>
    </row>
    <row r="311" spans="2:9" ht="15" customHeight="1">
      <c r="B311" s="1"/>
      <c r="C311" s="1"/>
      <c r="D311" s="1"/>
      <c r="E311" s="1"/>
      <c r="F311" s="1"/>
      <c r="G311" s="1"/>
      <c r="H311" s="1"/>
      <c r="I311" s="1"/>
    </row>
    <row r="312" spans="2:9" ht="15" customHeight="1">
      <c r="B312" s="1"/>
      <c r="C312" s="1"/>
      <c r="D312" s="1"/>
      <c r="E312" s="1"/>
      <c r="F312" s="1"/>
      <c r="G312" s="1"/>
      <c r="H312" s="1"/>
      <c r="I312" s="1"/>
    </row>
    <row r="313" spans="2:9" ht="15" customHeight="1">
      <c r="B313" s="1"/>
      <c r="C313" s="1"/>
      <c r="D313" s="1"/>
      <c r="E313" s="1"/>
      <c r="F313" s="1"/>
      <c r="G313" s="1"/>
      <c r="H313" s="1"/>
      <c r="I313" s="1"/>
    </row>
    <row r="314" spans="2:9" ht="15" customHeight="1">
      <c r="B314" s="1"/>
      <c r="C314" s="1"/>
      <c r="D314" s="1"/>
      <c r="E314" s="1"/>
      <c r="F314" s="1"/>
      <c r="G314" s="1"/>
      <c r="H314" s="1"/>
      <c r="I314" s="1"/>
    </row>
    <row r="315" spans="2:9" ht="15" customHeight="1">
      <c r="B315" s="1"/>
      <c r="C315" s="1"/>
      <c r="D315" s="1"/>
      <c r="E315" s="1"/>
      <c r="F315" s="1"/>
      <c r="G315" s="1"/>
      <c r="H315" s="1"/>
      <c r="I315" s="1"/>
    </row>
    <row r="316" spans="2:9" ht="15" customHeight="1">
      <c r="B316" s="1"/>
      <c r="C316" s="1"/>
      <c r="D316" s="1"/>
      <c r="E316" s="1"/>
      <c r="F316" s="1"/>
      <c r="G316" s="1"/>
      <c r="H316" s="1"/>
      <c r="I316" s="1"/>
    </row>
    <row r="317" spans="2:9" ht="15" customHeight="1">
      <c r="B317" s="1"/>
      <c r="C317" s="1"/>
      <c r="D317" s="1"/>
      <c r="E317" s="1"/>
      <c r="F317" s="1"/>
      <c r="G317" s="1"/>
      <c r="H317" s="1"/>
      <c r="I317" s="1"/>
    </row>
    <row r="318" spans="2:9" ht="15" customHeight="1">
      <c r="B318" s="1"/>
      <c r="C318" s="1"/>
      <c r="D318" s="1"/>
      <c r="E318" s="1"/>
      <c r="F318" s="1"/>
      <c r="G318" s="1"/>
      <c r="H318" s="1"/>
      <c r="I318" s="1"/>
    </row>
    <row r="319" spans="2:9" ht="15" customHeight="1">
      <c r="B319" s="1"/>
      <c r="C319" s="1"/>
      <c r="D319" s="1"/>
      <c r="E319" s="1"/>
      <c r="F319" s="1"/>
      <c r="G319" s="1"/>
      <c r="H319" s="1"/>
      <c r="I319" s="1"/>
    </row>
    <row r="320" spans="2:9" ht="15" customHeight="1">
      <c r="B320" s="1"/>
      <c r="C320" s="1"/>
      <c r="D320" s="1"/>
      <c r="E320" s="1"/>
      <c r="F320" s="1"/>
      <c r="G320" s="1"/>
      <c r="H320" s="1"/>
      <c r="I320" s="1"/>
    </row>
    <row r="321" spans="2:9" ht="15" customHeight="1">
      <c r="B321" s="1"/>
      <c r="C321" s="1"/>
      <c r="D321" s="1"/>
      <c r="E321" s="1"/>
      <c r="F321" s="1"/>
      <c r="G321" s="1"/>
      <c r="H321" s="1"/>
      <c r="I321" s="1"/>
    </row>
    <row r="322" spans="2:9" ht="15" customHeight="1">
      <c r="B322" s="1"/>
      <c r="C322" s="1"/>
      <c r="D322" s="1"/>
      <c r="E322" s="1"/>
      <c r="F322" s="1"/>
      <c r="G322" s="1"/>
      <c r="H322" s="1"/>
      <c r="I322" s="1"/>
    </row>
    <row r="323" spans="2:9" ht="15" customHeight="1">
      <c r="B323" s="1"/>
      <c r="C323" s="1"/>
      <c r="D323" s="1"/>
      <c r="E323" s="1"/>
      <c r="F323" s="1"/>
      <c r="G323" s="1"/>
      <c r="H323" s="1"/>
      <c r="I323" s="1"/>
    </row>
    <row r="324" spans="2:9" ht="15" customHeight="1">
      <c r="B324" s="1"/>
      <c r="C324" s="1"/>
      <c r="D324" s="1"/>
      <c r="E324" s="1"/>
      <c r="F324" s="1"/>
      <c r="G324" s="1"/>
      <c r="H324" s="1"/>
      <c r="I324" s="1"/>
    </row>
    <row r="325" spans="2:9" ht="15" customHeight="1">
      <c r="B325" s="1"/>
      <c r="C325" s="1"/>
      <c r="D325" s="1"/>
      <c r="E325" s="1"/>
      <c r="F325" s="1"/>
      <c r="G325" s="1"/>
      <c r="H325" s="1"/>
      <c r="I325" s="1"/>
    </row>
    <row r="326" spans="2:9" ht="15" customHeight="1">
      <c r="B326" s="1"/>
      <c r="C326" s="1"/>
      <c r="D326" s="1"/>
      <c r="E326" s="1"/>
      <c r="F326" s="1"/>
      <c r="G326" s="1"/>
      <c r="H326" s="1"/>
      <c r="I326" s="1"/>
    </row>
    <row r="327" spans="2:9" ht="15" customHeight="1">
      <c r="B327" s="1"/>
      <c r="C327" s="1"/>
      <c r="D327" s="1"/>
      <c r="E327" s="1"/>
      <c r="F327" s="1"/>
      <c r="G327" s="1"/>
      <c r="H327" s="1"/>
      <c r="I327" s="1"/>
    </row>
    <row r="328" spans="2:9" ht="15" customHeight="1">
      <c r="B328" s="1"/>
      <c r="C328" s="1"/>
      <c r="D328" s="1"/>
      <c r="E328" s="1"/>
      <c r="F328" s="1"/>
      <c r="G328" s="1"/>
      <c r="H328" s="1"/>
      <c r="I328" s="1"/>
    </row>
    <row r="329" spans="2:9" ht="15" customHeight="1">
      <c r="B329" s="1"/>
      <c r="C329" s="1"/>
      <c r="D329" s="1"/>
      <c r="E329" s="1"/>
      <c r="F329" s="1"/>
      <c r="G329" s="1"/>
      <c r="H329" s="1"/>
      <c r="I329" s="1"/>
    </row>
    <row r="330" spans="2:9" ht="15" customHeight="1">
      <c r="B330" s="1"/>
      <c r="C330" s="1"/>
      <c r="D330" s="1"/>
      <c r="E330" s="1"/>
      <c r="F330" s="1"/>
      <c r="G330" s="1"/>
      <c r="H330" s="1"/>
      <c r="I330" s="1"/>
    </row>
    <row r="331" spans="2:9" ht="15" customHeight="1">
      <c r="B331" s="1"/>
      <c r="C331" s="1"/>
      <c r="D331" s="1"/>
      <c r="E331" s="1"/>
      <c r="F331" s="1"/>
      <c r="G331" s="1"/>
      <c r="H331" s="1"/>
      <c r="I331" s="1"/>
    </row>
    <row r="332" spans="2:9" ht="15" customHeight="1">
      <c r="B332" s="1"/>
      <c r="C332" s="1"/>
      <c r="D332" s="1"/>
      <c r="E332" s="1"/>
      <c r="F332" s="1"/>
      <c r="G332" s="1"/>
      <c r="H332" s="1"/>
      <c r="I332" s="1"/>
    </row>
    <row r="333" spans="2:9" ht="15" customHeight="1">
      <c r="B333" s="1"/>
      <c r="C333" s="1"/>
      <c r="D333" s="1"/>
      <c r="E333" s="1"/>
      <c r="F333" s="1"/>
      <c r="G333" s="1"/>
      <c r="H333" s="1"/>
      <c r="I333" s="1"/>
    </row>
    <row r="334" spans="2:9" ht="15" customHeight="1">
      <c r="B334" s="1"/>
      <c r="C334" s="1"/>
      <c r="D334" s="1"/>
      <c r="E334" s="1"/>
      <c r="F334" s="1"/>
      <c r="G334" s="1"/>
      <c r="H334" s="1"/>
      <c r="I334" s="1"/>
    </row>
    <row r="335" spans="2:9" ht="15" customHeight="1">
      <c r="B335" s="1"/>
      <c r="C335" s="1"/>
      <c r="D335" s="1"/>
      <c r="E335" s="1"/>
      <c r="F335" s="1"/>
      <c r="G335" s="1"/>
      <c r="H335" s="1"/>
      <c r="I335" s="1"/>
    </row>
    <row r="336" spans="2:9" ht="15" customHeight="1">
      <c r="B336" s="1"/>
      <c r="C336" s="1"/>
      <c r="D336" s="1"/>
      <c r="E336" s="1"/>
      <c r="F336" s="1"/>
      <c r="G336" s="1"/>
      <c r="H336" s="1"/>
      <c r="I336" s="1"/>
    </row>
    <row r="337" spans="2:9" ht="15" customHeight="1">
      <c r="B337" s="1"/>
      <c r="C337" s="1"/>
      <c r="D337" s="1"/>
      <c r="E337" s="1"/>
      <c r="F337" s="1"/>
      <c r="G337" s="1"/>
      <c r="H337" s="1"/>
      <c r="I337" s="1"/>
    </row>
    <row r="338" spans="2:9" ht="15" customHeight="1">
      <c r="B338" s="1"/>
      <c r="C338" s="1"/>
      <c r="D338" s="1"/>
      <c r="E338" s="1"/>
      <c r="F338" s="1"/>
      <c r="G338" s="1"/>
      <c r="H338" s="1"/>
      <c r="I338" s="1"/>
    </row>
    <row r="339" spans="2:9" ht="15" customHeight="1">
      <c r="B339" s="1"/>
      <c r="C339" s="1"/>
      <c r="D339" s="1"/>
      <c r="E339" s="1"/>
      <c r="F339" s="1"/>
      <c r="G339" s="1"/>
      <c r="H339" s="1"/>
      <c r="I339" s="1"/>
    </row>
    <row r="340" spans="2:9" ht="15" customHeight="1">
      <c r="B340" s="1"/>
      <c r="C340" s="1"/>
      <c r="D340" s="1"/>
      <c r="E340" s="1"/>
      <c r="F340" s="1"/>
      <c r="G340" s="1"/>
      <c r="H340" s="1"/>
      <c r="I340" s="1"/>
    </row>
    <row r="341" spans="2:9" ht="15" customHeight="1">
      <c r="B341" s="1"/>
      <c r="C341" s="1"/>
      <c r="D341" s="1"/>
      <c r="E341" s="1"/>
      <c r="F341" s="1"/>
      <c r="G341" s="1"/>
      <c r="H341" s="1"/>
      <c r="I341" s="1"/>
    </row>
    <row r="342" spans="2:9" ht="15" customHeight="1">
      <c r="B342" s="1"/>
      <c r="C342" s="1"/>
      <c r="D342" s="1"/>
      <c r="E342" s="1"/>
      <c r="F342" s="1"/>
      <c r="G342" s="1"/>
      <c r="H342" s="1"/>
      <c r="I342" s="1"/>
    </row>
    <row r="343" spans="2:9" ht="15" customHeight="1">
      <c r="B343" s="1"/>
      <c r="C343" s="1"/>
      <c r="D343" s="1"/>
      <c r="E343" s="1"/>
      <c r="F343" s="1"/>
      <c r="G343" s="1"/>
      <c r="H343" s="1"/>
      <c r="I343" s="1"/>
    </row>
    <row r="344" spans="2:9" ht="15" customHeight="1">
      <c r="B344" s="1"/>
      <c r="C344" s="1"/>
      <c r="D344" s="1"/>
      <c r="E344" s="1"/>
      <c r="F344" s="1"/>
      <c r="G344" s="1"/>
      <c r="H344" s="1"/>
      <c r="I344" s="1"/>
    </row>
    <row r="345" spans="2:9" ht="15" customHeight="1">
      <c r="B345" s="1"/>
      <c r="C345" s="1"/>
      <c r="D345" s="1"/>
      <c r="E345" s="1"/>
      <c r="F345" s="1"/>
      <c r="G345" s="1"/>
      <c r="H345" s="1"/>
      <c r="I345" s="1"/>
    </row>
    <row r="346" spans="2:9" ht="15" customHeight="1">
      <c r="B346" s="1"/>
      <c r="C346" s="1"/>
      <c r="D346" s="1"/>
      <c r="E346" s="1"/>
      <c r="F346" s="1"/>
      <c r="G346" s="1"/>
      <c r="H346" s="1"/>
      <c r="I346" s="1"/>
    </row>
    <row r="347" spans="2:9" ht="15" customHeight="1">
      <c r="B347" s="1"/>
      <c r="C347" s="1"/>
      <c r="D347" s="1"/>
      <c r="E347" s="1"/>
      <c r="F347" s="1"/>
      <c r="G347" s="1"/>
      <c r="H347" s="1"/>
      <c r="I347" s="1"/>
    </row>
    <row r="348" spans="2:9" ht="15" customHeight="1">
      <c r="B348" s="1"/>
      <c r="C348" s="1"/>
      <c r="D348" s="1"/>
      <c r="E348" s="1"/>
      <c r="F348" s="1"/>
      <c r="G348" s="1"/>
      <c r="H348" s="1"/>
      <c r="I348" s="1"/>
    </row>
    <row r="349" spans="2:9" ht="15" customHeight="1">
      <c r="B349" s="1"/>
      <c r="C349" s="1"/>
      <c r="D349" s="1"/>
      <c r="E349" s="1"/>
      <c r="F349" s="1"/>
      <c r="G349" s="1"/>
      <c r="H349" s="1"/>
      <c r="I349" s="1"/>
    </row>
    <row r="350" spans="2:9" ht="15" customHeight="1">
      <c r="B350" s="1"/>
      <c r="C350" s="1"/>
      <c r="D350" s="1"/>
      <c r="E350" s="1"/>
      <c r="F350" s="1"/>
      <c r="G350" s="1"/>
      <c r="H350" s="1"/>
      <c r="I350" s="1"/>
    </row>
    <row r="351" spans="2:9" ht="15" customHeight="1">
      <c r="B351" s="1"/>
      <c r="C351" s="1"/>
      <c r="D351" s="1"/>
      <c r="E351" s="1"/>
      <c r="F351" s="1"/>
      <c r="G351" s="1"/>
      <c r="H351" s="1"/>
      <c r="I351" s="1"/>
    </row>
    <row r="352" spans="2:9" ht="15" customHeight="1">
      <c r="B352" s="1"/>
      <c r="C352" s="1"/>
      <c r="D352" s="1"/>
      <c r="E352" s="1"/>
      <c r="F352" s="1"/>
      <c r="G352" s="1"/>
      <c r="H352" s="1"/>
      <c r="I352" s="1"/>
    </row>
    <row r="353" spans="2:9" ht="15" customHeight="1">
      <c r="B353" s="1"/>
      <c r="C353" s="1"/>
      <c r="D353" s="1"/>
      <c r="E353" s="1"/>
      <c r="F353" s="1"/>
      <c r="G353" s="1"/>
      <c r="H353" s="1"/>
      <c r="I353" s="1"/>
    </row>
    <row r="354" spans="2:9" ht="15" customHeight="1">
      <c r="B354" s="1"/>
      <c r="C354" s="1"/>
      <c r="D354" s="1"/>
      <c r="E354" s="1"/>
      <c r="F354" s="1"/>
      <c r="G354" s="1"/>
      <c r="H354" s="1"/>
      <c r="I354" s="1"/>
    </row>
    <row r="355" spans="2:9" ht="15" customHeight="1">
      <c r="B355" s="1"/>
      <c r="C355" s="1"/>
      <c r="D355" s="1"/>
      <c r="E355" s="1"/>
      <c r="F355" s="1"/>
      <c r="G355" s="1"/>
      <c r="H355" s="1"/>
      <c r="I355" s="1"/>
    </row>
    <row r="356" spans="2:9" ht="15" customHeight="1">
      <c r="B356" s="1"/>
      <c r="C356" s="1"/>
      <c r="D356" s="1"/>
      <c r="E356" s="1"/>
      <c r="F356" s="1"/>
      <c r="G356" s="1"/>
      <c r="H356" s="1"/>
      <c r="I356" s="1"/>
    </row>
    <row r="357" spans="2:9" ht="15" customHeight="1">
      <c r="B357" s="1"/>
      <c r="C357" s="1"/>
      <c r="D357" s="1"/>
      <c r="E357" s="1"/>
      <c r="F357" s="1"/>
      <c r="G357" s="1"/>
      <c r="H357" s="1"/>
      <c r="I357" s="1"/>
    </row>
    <row r="358" spans="2:9" ht="15" customHeight="1">
      <c r="B358" s="1"/>
      <c r="C358" s="1"/>
      <c r="D358" s="1"/>
      <c r="E358" s="1"/>
      <c r="F358" s="1"/>
      <c r="G358" s="1"/>
      <c r="H358" s="1"/>
      <c r="I358" s="1"/>
    </row>
    <row r="359" spans="2:9" ht="15" customHeight="1">
      <c r="B359" s="1"/>
      <c r="C359" s="1"/>
      <c r="D359" s="1"/>
      <c r="E359" s="1"/>
      <c r="F359" s="1"/>
      <c r="G359" s="1"/>
      <c r="H359" s="1"/>
      <c r="I359" s="1"/>
    </row>
    <row r="360" spans="2:9" ht="15" customHeight="1">
      <c r="B360" s="1"/>
      <c r="C360" s="1"/>
      <c r="D360" s="1"/>
      <c r="E360" s="1"/>
      <c r="F360" s="1"/>
      <c r="G360" s="1"/>
      <c r="H360" s="1"/>
      <c r="I360" s="1"/>
    </row>
    <row r="361" spans="2:9" ht="15" customHeight="1">
      <c r="B361" s="1"/>
      <c r="C361" s="1"/>
      <c r="D361" s="1"/>
      <c r="E361" s="1"/>
      <c r="F361" s="1"/>
      <c r="G361" s="1"/>
      <c r="H361" s="1"/>
      <c r="I361" s="1"/>
    </row>
    <row r="362" spans="2:9" ht="15" customHeight="1">
      <c r="B362" s="1"/>
      <c r="C362" s="1"/>
      <c r="D362" s="1"/>
      <c r="E362" s="1"/>
      <c r="F362" s="1"/>
      <c r="G362" s="1"/>
      <c r="H362" s="1"/>
      <c r="I362" s="1"/>
    </row>
    <row r="363" spans="2:9" ht="15" customHeight="1">
      <c r="B363" s="1"/>
      <c r="C363" s="1"/>
      <c r="D363" s="1"/>
      <c r="E363" s="1"/>
      <c r="F363" s="1"/>
      <c r="G363" s="1"/>
      <c r="H363" s="1"/>
      <c r="I363" s="1"/>
    </row>
    <row r="364" spans="2:9" ht="15" customHeight="1">
      <c r="B364" s="1"/>
      <c r="C364" s="1"/>
      <c r="D364" s="1"/>
      <c r="E364" s="1"/>
      <c r="F364" s="1"/>
      <c r="G364" s="1"/>
      <c r="H364" s="1"/>
      <c r="I364" s="1"/>
    </row>
    <row r="365" spans="2:9" ht="15" customHeight="1">
      <c r="B365" s="1"/>
      <c r="C365" s="1"/>
      <c r="D365" s="1"/>
      <c r="E365" s="1"/>
      <c r="F365" s="1"/>
      <c r="G365" s="1"/>
      <c r="H365" s="1"/>
      <c r="I365" s="1"/>
    </row>
    <row r="366" spans="2:9" ht="15" customHeight="1">
      <c r="B366" s="1"/>
      <c r="C366" s="1"/>
      <c r="D366" s="1"/>
      <c r="E366" s="1"/>
      <c r="F366" s="1"/>
      <c r="G366" s="1"/>
      <c r="H366" s="1"/>
      <c r="I366" s="1"/>
    </row>
    <row r="367" spans="2:9" ht="15" customHeight="1">
      <c r="B367" s="1"/>
      <c r="C367" s="1"/>
      <c r="D367" s="1"/>
      <c r="E367" s="1"/>
      <c r="F367" s="1"/>
      <c r="G367" s="1"/>
      <c r="H367" s="1"/>
      <c r="I367" s="1"/>
    </row>
    <row r="368" spans="2:9" ht="15" customHeight="1">
      <c r="B368" s="1"/>
      <c r="C368" s="1"/>
      <c r="D368" s="1"/>
      <c r="E368" s="1"/>
      <c r="F368" s="1"/>
      <c r="G368" s="1"/>
      <c r="H368" s="1"/>
      <c r="I368" s="1"/>
    </row>
    <row r="369" spans="2:9" ht="15" customHeight="1">
      <c r="B369" s="1"/>
      <c r="C369" s="1"/>
      <c r="D369" s="1"/>
      <c r="E369" s="1"/>
      <c r="F369" s="1"/>
      <c r="G369" s="1"/>
      <c r="H369" s="1"/>
      <c r="I369" s="1"/>
    </row>
    <row r="370" spans="2:9" ht="15" customHeight="1">
      <c r="B370" s="1"/>
      <c r="C370" s="1"/>
      <c r="D370" s="1"/>
      <c r="E370" s="1"/>
      <c r="F370" s="1"/>
      <c r="G370" s="1"/>
      <c r="H370" s="1"/>
      <c r="I370" s="1"/>
    </row>
    <row r="371" spans="2:9" ht="15" customHeight="1">
      <c r="B371" s="1"/>
      <c r="C371" s="1"/>
      <c r="D371" s="1"/>
      <c r="E371" s="1"/>
      <c r="F371" s="1"/>
      <c r="G371" s="1"/>
      <c r="H371" s="1"/>
      <c r="I371" s="1"/>
    </row>
    <row r="372" spans="2:9" ht="15" customHeight="1">
      <c r="B372" s="1"/>
      <c r="C372" s="1"/>
      <c r="D372" s="1"/>
      <c r="E372" s="1"/>
      <c r="F372" s="1"/>
      <c r="G372" s="1"/>
      <c r="H372" s="1"/>
      <c r="I372" s="1"/>
    </row>
    <row r="373" spans="2:9" ht="15" customHeight="1">
      <c r="B373" s="1"/>
      <c r="C373" s="1"/>
      <c r="D373" s="1"/>
      <c r="E373" s="1"/>
      <c r="F373" s="1"/>
      <c r="G373" s="1"/>
      <c r="H373" s="1"/>
      <c r="I373" s="1"/>
    </row>
    <row r="374" spans="2:9" ht="15" customHeight="1">
      <c r="B374" s="1"/>
      <c r="C374" s="1"/>
      <c r="D374" s="1"/>
      <c r="E374" s="1"/>
      <c r="F374" s="1"/>
      <c r="G374" s="1"/>
      <c r="H374" s="1"/>
      <c r="I374" s="1"/>
    </row>
    <row r="375" spans="2:9" ht="15" customHeight="1">
      <c r="B375" s="1"/>
      <c r="C375" s="1"/>
      <c r="D375" s="1"/>
      <c r="E375" s="1"/>
      <c r="F375" s="1"/>
      <c r="G375" s="1"/>
      <c r="H375" s="1"/>
      <c r="I375" s="1"/>
    </row>
    <row r="376" spans="2:9" ht="15" customHeight="1">
      <c r="B376" s="1"/>
      <c r="C376" s="1"/>
      <c r="D376" s="1"/>
      <c r="E376" s="1"/>
      <c r="F376" s="1"/>
      <c r="G376" s="1"/>
      <c r="H376" s="1"/>
      <c r="I376" s="1"/>
    </row>
    <row r="377" spans="2:9" ht="15" customHeight="1">
      <c r="B377" s="1"/>
      <c r="C377" s="1"/>
      <c r="D377" s="1"/>
      <c r="E377" s="1"/>
      <c r="F377" s="1"/>
      <c r="G377" s="1"/>
      <c r="H377" s="1"/>
      <c r="I377" s="1"/>
    </row>
    <row r="378" spans="2:9" ht="15" customHeight="1">
      <c r="B378" s="1"/>
      <c r="C378" s="1"/>
      <c r="D378" s="1"/>
      <c r="E378" s="1"/>
      <c r="F378" s="1"/>
      <c r="G378" s="1"/>
      <c r="H378" s="1"/>
      <c r="I378" s="1"/>
    </row>
    <row r="379" spans="2:9" ht="15" customHeight="1">
      <c r="B379" s="1"/>
      <c r="C379" s="1"/>
      <c r="D379" s="1"/>
      <c r="E379" s="1"/>
      <c r="F379" s="1"/>
      <c r="G379" s="1"/>
      <c r="H379" s="1"/>
      <c r="I379" s="1"/>
    </row>
    <row r="380" spans="2:9" ht="15" customHeight="1">
      <c r="B380" s="1"/>
      <c r="C380" s="1"/>
      <c r="D380" s="1"/>
      <c r="E380" s="1"/>
      <c r="F380" s="1"/>
      <c r="G380" s="1"/>
      <c r="H380" s="1"/>
      <c r="I380" s="1"/>
    </row>
    <row r="381" spans="2:9" ht="15" customHeight="1">
      <c r="B381" s="1"/>
      <c r="C381" s="1"/>
      <c r="D381" s="1"/>
      <c r="E381" s="1"/>
      <c r="F381" s="1"/>
      <c r="G381" s="1"/>
      <c r="H381" s="1"/>
      <c r="I381" s="1"/>
    </row>
    <row r="382" spans="2:9" ht="15" customHeight="1">
      <c r="B382" s="1"/>
      <c r="C382" s="1"/>
      <c r="D382" s="1"/>
      <c r="E382" s="1"/>
      <c r="F382" s="1"/>
      <c r="G382" s="1"/>
      <c r="H382" s="1"/>
      <c r="I382" s="1"/>
    </row>
    <row r="383" spans="2:9" ht="15" customHeight="1">
      <c r="B383" s="1"/>
      <c r="C383" s="1"/>
      <c r="D383" s="1"/>
      <c r="E383" s="1"/>
      <c r="F383" s="1"/>
      <c r="G383" s="1"/>
      <c r="H383" s="1"/>
      <c r="I383" s="1"/>
    </row>
    <row r="384" spans="2:9" ht="15" customHeight="1">
      <c r="B384" s="1"/>
      <c r="C384" s="1"/>
      <c r="D384" s="1"/>
      <c r="E384" s="1"/>
      <c r="F384" s="1"/>
      <c r="G384" s="1"/>
      <c r="H384" s="1"/>
      <c r="I384" s="1"/>
    </row>
    <row r="385" spans="2:9" ht="15" customHeight="1">
      <c r="B385" s="1"/>
      <c r="C385" s="1"/>
      <c r="D385" s="1"/>
      <c r="E385" s="1"/>
      <c r="F385" s="1"/>
      <c r="G385" s="1"/>
      <c r="H385" s="1"/>
      <c r="I385" s="1"/>
    </row>
    <row r="386" spans="2:9" ht="15" customHeight="1">
      <c r="B386" s="1"/>
      <c r="C386" s="1"/>
      <c r="D386" s="1"/>
      <c r="E386" s="1"/>
      <c r="F386" s="1"/>
      <c r="G386" s="1"/>
      <c r="H386" s="1"/>
      <c r="I386" s="1"/>
    </row>
    <row r="387" spans="2:9" ht="15" customHeight="1">
      <c r="B387" s="1"/>
      <c r="C387" s="1"/>
      <c r="D387" s="1"/>
      <c r="E387" s="1"/>
      <c r="F387" s="1"/>
      <c r="G387" s="1"/>
      <c r="H387" s="1"/>
      <c r="I387" s="1"/>
    </row>
    <row r="388" spans="2:9" ht="15" customHeight="1">
      <c r="B388" s="1"/>
      <c r="C388" s="1"/>
      <c r="D388" s="1"/>
      <c r="E388" s="1"/>
      <c r="F388" s="1"/>
      <c r="G388" s="1"/>
      <c r="H388" s="1"/>
      <c r="I388" s="1"/>
    </row>
    <row r="389" spans="2:9" ht="15" customHeight="1">
      <c r="B389" s="1"/>
      <c r="C389" s="1"/>
      <c r="D389" s="1"/>
      <c r="E389" s="1"/>
      <c r="F389" s="1"/>
      <c r="G389" s="1"/>
      <c r="H389" s="1"/>
      <c r="I389" s="1"/>
    </row>
    <row r="390" spans="2:9" ht="15" customHeight="1">
      <c r="B390" s="1"/>
      <c r="C390" s="1"/>
      <c r="D390" s="1"/>
      <c r="E390" s="1"/>
      <c r="F390" s="1"/>
      <c r="G390" s="1"/>
      <c r="H390" s="1"/>
      <c r="I390" s="1"/>
    </row>
    <row r="391" spans="2:9" ht="15" customHeight="1">
      <c r="B391" s="1"/>
      <c r="C391" s="1"/>
      <c r="D391" s="1"/>
      <c r="E391" s="1"/>
      <c r="F391" s="1"/>
      <c r="G391" s="1"/>
      <c r="H391" s="1"/>
      <c r="I391" s="1"/>
    </row>
    <row r="392" spans="2:9" ht="15" customHeight="1">
      <c r="B392" s="1"/>
      <c r="C392" s="1"/>
      <c r="D392" s="1"/>
      <c r="E392" s="1"/>
      <c r="F392" s="1"/>
      <c r="G392" s="1"/>
      <c r="H392" s="1"/>
      <c r="I392" s="1"/>
    </row>
    <row r="393" spans="2:9" ht="15" customHeight="1">
      <c r="B393" s="1"/>
      <c r="C393" s="1"/>
      <c r="D393" s="1"/>
      <c r="E393" s="1"/>
      <c r="F393" s="1"/>
      <c r="G393" s="1"/>
      <c r="H393" s="1"/>
      <c r="I393" s="1"/>
    </row>
    <row r="394" spans="2:9" ht="15" customHeight="1">
      <c r="B394" s="1"/>
      <c r="C394" s="1"/>
      <c r="D394" s="1"/>
      <c r="E394" s="1"/>
      <c r="F394" s="1"/>
      <c r="G394" s="1"/>
      <c r="H394" s="1"/>
      <c r="I394" s="1"/>
    </row>
    <row r="395" spans="2:9" ht="15" customHeight="1">
      <c r="B395" s="1"/>
      <c r="C395" s="1"/>
      <c r="D395" s="1"/>
      <c r="E395" s="1"/>
      <c r="F395" s="1"/>
      <c r="G395" s="1"/>
      <c r="H395" s="1"/>
      <c r="I395" s="1"/>
    </row>
    <row r="396" spans="2:9" ht="15" customHeight="1">
      <c r="B396" s="1"/>
      <c r="C396" s="1"/>
      <c r="D396" s="1"/>
      <c r="E396" s="1"/>
      <c r="F396" s="1"/>
      <c r="G396" s="1"/>
      <c r="H396" s="1"/>
      <c r="I396" s="1"/>
    </row>
    <row r="397" spans="2:9" ht="15" customHeight="1">
      <c r="B397" s="1"/>
      <c r="C397" s="1"/>
      <c r="D397" s="1"/>
      <c r="E397" s="1"/>
      <c r="F397" s="1"/>
      <c r="G397" s="1"/>
      <c r="H397" s="1"/>
      <c r="I397" s="1"/>
    </row>
    <row r="398" spans="2:9" ht="15" customHeight="1">
      <c r="B398" s="1"/>
      <c r="C398" s="1"/>
      <c r="D398" s="1"/>
      <c r="E398" s="1"/>
      <c r="F398" s="1"/>
      <c r="G398" s="1"/>
      <c r="H398" s="1"/>
      <c r="I398" s="1"/>
    </row>
    <row r="399" spans="2:9" ht="15" customHeight="1">
      <c r="B399" s="1"/>
      <c r="C399" s="1"/>
      <c r="D399" s="1"/>
      <c r="E399" s="1"/>
      <c r="F399" s="1"/>
      <c r="G399" s="1"/>
      <c r="H399" s="1"/>
      <c r="I399" s="1"/>
    </row>
    <row r="400" spans="2:9" ht="15" customHeight="1">
      <c r="B400" s="1"/>
      <c r="C400" s="1"/>
      <c r="D400" s="1"/>
      <c r="E400" s="1"/>
      <c r="F400" s="1"/>
      <c r="G400" s="1"/>
      <c r="H400" s="1"/>
      <c r="I400" s="1"/>
    </row>
    <row r="401" spans="2:9" ht="15" customHeight="1">
      <c r="B401" s="1"/>
      <c r="C401" s="1"/>
      <c r="D401" s="1"/>
      <c r="E401" s="1"/>
      <c r="F401" s="1"/>
      <c r="G401" s="1"/>
      <c r="H401" s="1"/>
      <c r="I401" s="1"/>
    </row>
    <row r="402" spans="2:9" ht="15" customHeight="1">
      <c r="B402" s="1"/>
      <c r="C402" s="1"/>
      <c r="D402" s="1"/>
      <c r="E402" s="1"/>
      <c r="F402" s="1"/>
      <c r="G402" s="1"/>
      <c r="H402" s="1"/>
      <c r="I402" s="1"/>
    </row>
    <row r="403" spans="2:9" ht="15" customHeight="1">
      <c r="B403" s="1"/>
      <c r="C403" s="1"/>
      <c r="D403" s="1"/>
      <c r="E403" s="1"/>
      <c r="F403" s="1"/>
      <c r="G403" s="1"/>
      <c r="H403" s="1"/>
      <c r="I403" s="1"/>
    </row>
    <row r="404" spans="2:9" ht="15" customHeight="1">
      <c r="B404" s="1"/>
      <c r="C404" s="1"/>
      <c r="D404" s="1"/>
      <c r="E404" s="1"/>
      <c r="F404" s="1"/>
      <c r="G404" s="1"/>
      <c r="H404" s="1"/>
      <c r="I404" s="1"/>
    </row>
    <row r="405" spans="2:9" ht="15" customHeight="1">
      <c r="B405" s="1"/>
      <c r="C405" s="1"/>
      <c r="D405" s="1"/>
      <c r="E405" s="1"/>
      <c r="F405" s="1"/>
      <c r="G405" s="1"/>
      <c r="H405" s="1"/>
      <c r="I405" s="1"/>
    </row>
    <row r="406" spans="2:9" ht="15" customHeight="1">
      <c r="B406" s="1"/>
      <c r="C406" s="1"/>
      <c r="D406" s="1"/>
      <c r="E406" s="1"/>
      <c r="F406" s="1"/>
      <c r="G406" s="1"/>
      <c r="H406" s="1"/>
      <c r="I406" s="1"/>
    </row>
    <row r="407" spans="2:9" ht="15" customHeight="1"/>
    <row r="408" spans="2:9" ht="15" customHeight="1"/>
    <row r="409" spans="2:9" ht="15" customHeight="1"/>
    <row r="410" spans="2:9" ht="15" customHeight="1"/>
    <row r="411" spans="2:9" ht="15" customHeight="1"/>
    <row r="412" spans="2:9" ht="15" customHeight="1"/>
    <row r="413" spans="2:9" ht="15" customHeight="1"/>
    <row r="414" spans="2:9" ht="15" customHeight="1"/>
    <row r="415" spans="2:9" ht="15" customHeight="1"/>
    <row r="416" spans="2:9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</sheetData>
  <mergeCells count="218">
    <mergeCell ref="G64:G65"/>
    <mergeCell ref="A64:A65"/>
    <mergeCell ref="B64:B65"/>
    <mergeCell ref="C64:C65"/>
    <mergeCell ref="D64:D65"/>
    <mergeCell ref="E64:E65"/>
    <mergeCell ref="A48:A49"/>
    <mergeCell ref="B48:B49"/>
    <mergeCell ref="C46:C47"/>
    <mergeCell ref="G46:G47"/>
    <mergeCell ref="F46:F47"/>
    <mergeCell ref="D46:D47"/>
    <mergeCell ref="A46:A47"/>
    <mergeCell ref="B46:B47"/>
    <mergeCell ref="F64:F65"/>
    <mergeCell ref="E34:E35"/>
    <mergeCell ref="C48:C49"/>
    <mergeCell ref="D42:D43"/>
    <mergeCell ref="E42:E43"/>
    <mergeCell ref="F42:F43"/>
    <mergeCell ref="D44:D45"/>
    <mergeCell ref="C44:C45"/>
    <mergeCell ref="A42:A43"/>
    <mergeCell ref="B42:B43"/>
    <mergeCell ref="C42:C43"/>
    <mergeCell ref="A44:A45"/>
    <mergeCell ref="C38:C39"/>
    <mergeCell ref="F36:F37"/>
    <mergeCell ref="E40:E41"/>
    <mergeCell ref="E44:E45"/>
    <mergeCell ref="F44:F45"/>
    <mergeCell ref="A40:A41"/>
    <mergeCell ref="B40:B41"/>
    <mergeCell ref="C40:C41"/>
    <mergeCell ref="B44:B45"/>
    <mergeCell ref="A38:A39"/>
    <mergeCell ref="B38:B39"/>
    <mergeCell ref="A36:A37"/>
    <mergeCell ref="D40:D41"/>
    <mergeCell ref="C36:C37"/>
    <mergeCell ref="D36:D37"/>
    <mergeCell ref="D38:D39"/>
    <mergeCell ref="E36:E37"/>
    <mergeCell ref="G20:G21"/>
    <mergeCell ref="F20:F21"/>
    <mergeCell ref="F22:F23"/>
    <mergeCell ref="A24:A25"/>
    <mergeCell ref="B24:B25"/>
    <mergeCell ref="C24:C25"/>
    <mergeCell ref="D24:D25"/>
    <mergeCell ref="E24:E25"/>
    <mergeCell ref="G24:G25"/>
    <mergeCell ref="A22:A23"/>
    <mergeCell ref="G28:G29"/>
    <mergeCell ref="A26:A27"/>
    <mergeCell ref="E32:E33"/>
    <mergeCell ref="F32:F33"/>
    <mergeCell ref="G32:G33"/>
    <mergeCell ref="A30:A31"/>
    <mergeCell ref="B30:B31"/>
    <mergeCell ref="C30:C31"/>
    <mergeCell ref="D30:D31"/>
    <mergeCell ref="F30:F31"/>
    <mergeCell ref="A32:A33"/>
    <mergeCell ref="B32:B33"/>
    <mergeCell ref="C32:C33"/>
    <mergeCell ref="D32:D33"/>
    <mergeCell ref="F34:F35"/>
    <mergeCell ref="B34:B35"/>
    <mergeCell ref="C34:C35"/>
    <mergeCell ref="D34:D35"/>
    <mergeCell ref="F3:F5"/>
    <mergeCell ref="A1:G1"/>
    <mergeCell ref="C6:C7"/>
    <mergeCell ref="C8:C9"/>
    <mergeCell ref="F6:F7"/>
    <mergeCell ref="A3:A5"/>
    <mergeCell ref="G3:G5"/>
    <mergeCell ref="B3:B5"/>
    <mergeCell ref="C3:C5"/>
    <mergeCell ref="D3:D5"/>
    <mergeCell ref="E3:E5"/>
    <mergeCell ref="A6:A7"/>
    <mergeCell ref="A8:A9"/>
    <mergeCell ref="G18:G19"/>
    <mergeCell ref="G14:G15"/>
    <mergeCell ref="G16:G17"/>
    <mergeCell ref="C16:C17"/>
    <mergeCell ref="F14:F15"/>
    <mergeCell ref="B16:B17"/>
    <mergeCell ref="E14:E15"/>
    <mergeCell ref="F16:F17"/>
    <mergeCell ref="D16:D17"/>
    <mergeCell ref="D10:D11"/>
    <mergeCell ref="B12:B13"/>
    <mergeCell ref="C12:C13"/>
    <mergeCell ref="C14:C15"/>
    <mergeCell ref="B14:B15"/>
    <mergeCell ref="D14:D15"/>
    <mergeCell ref="E16:E17"/>
    <mergeCell ref="A10:A11"/>
    <mergeCell ref="B6:B7"/>
    <mergeCell ref="B8:B9"/>
    <mergeCell ref="B10:B11"/>
    <mergeCell ref="A12:A13"/>
    <mergeCell ref="A16:A17"/>
    <mergeCell ref="A14:A15"/>
    <mergeCell ref="F10:F11"/>
    <mergeCell ref="G8:G9"/>
    <mergeCell ref="G12:G13"/>
    <mergeCell ref="E10:E11"/>
    <mergeCell ref="C10:C11"/>
    <mergeCell ref="E6:E7"/>
    <mergeCell ref="G26:G27"/>
    <mergeCell ref="G6:G7"/>
    <mergeCell ref="D8:D9"/>
    <mergeCell ref="D12:D13"/>
    <mergeCell ref="E8:E9"/>
    <mergeCell ref="E12:E13"/>
    <mergeCell ref="F8:F9"/>
    <mergeCell ref="F12:F13"/>
    <mergeCell ref="G10:G11"/>
    <mergeCell ref="D6:D7"/>
    <mergeCell ref="G22:G23"/>
    <mergeCell ref="C18:C19"/>
    <mergeCell ref="D18:D19"/>
    <mergeCell ref="F40:F41"/>
    <mergeCell ref="G40:G41"/>
    <mergeCell ref="E38:E39"/>
    <mergeCell ref="F38:F39"/>
    <mergeCell ref="G30:G31"/>
    <mergeCell ref="G34:G35"/>
    <mergeCell ref="G38:G39"/>
    <mergeCell ref="F24:F25"/>
    <mergeCell ref="A20:A21"/>
    <mergeCell ref="E22:E23"/>
    <mergeCell ref="C20:C21"/>
    <mergeCell ref="D20:D21"/>
    <mergeCell ref="B22:B23"/>
    <mergeCell ref="C22:C23"/>
    <mergeCell ref="D22:D23"/>
    <mergeCell ref="F26:F27"/>
    <mergeCell ref="A50:A51"/>
    <mergeCell ref="B50:B51"/>
    <mergeCell ref="E50:E51"/>
    <mergeCell ref="F50:F51"/>
    <mergeCell ref="C50:C51"/>
    <mergeCell ref="D50:D51"/>
    <mergeCell ref="D48:D49"/>
    <mergeCell ref="E48:E49"/>
    <mergeCell ref="E30:E31"/>
    <mergeCell ref="A18:A19"/>
    <mergeCell ref="E20:E21"/>
    <mergeCell ref="A28:A29"/>
    <mergeCell ref="B28:B29"/>
    <mergeCell ref="C26:C27"/>
    <mergeCell ref="D26:D27"/>
    <mergeCell ref="D28:D29"/>
    <mergeCell ref="E26:E27"/>
    <mergeCell ref="F18:F19"/>
    <mergeCell ref="E18:E19"/>
    <mergeCell ref="F48:F49"/>
    <mergeCell ref="A34:A35"/>
    <mergeCell ref="B18:B19"/>
    <mergeCell ref="B20:B21"/>
    <mergeCell ref="B26:B27"/>
    <mergeCell ref="B36:B37"/>
    <mergeCell ref="E28:E29"/>
    <mergeCell ref="C28:C29"/>
    <mergeCell ref="D54:D55"/>
    <mergeCell ref="G48:G49"/>
    <mergeCell ref="E46:E47"/>
    <mergeCell ref="F56:F57"/>
    <mergeCell ref="G56:G57"/>
    <mergeCell ref="G54:G55"/>
    <mergeCell ref="F54:F55"/>
    <mergeCell ref="C52:C53"/>
    <mergeCell ref="D52:D53"/>
    <mergeCell ref="F28:F29"/>
    <mergeCell ref="E54:E55"/>
    <mergeCell ref="G36:G37"/>
    <mergeCell ref="G42:G43"/>
    <mergeCell ref="G44:G45"/>
    <mergeCell ref="E52:E53"/>
    <mergeCell ref="F52:F53"/>
    <mergeCell ref="C54:C55"/>
    <mergeCell ref="G50:G51"/>
    <mergeCell ref="G52:G53"/>
    <mergeCell ref="A54:A55"/>
    <mergeCell ref="B54:B55"/>
    <mergeCell ref="A56:A57"/>
    <mergeCell ref="B56:B57"/>
    <mergeCell ref="C56:C57"/>
    <mergeCell ref="D56:D57"/>
    <mergeCell ref="A52:A53"/>
    <mergeCell ref="B52:B53"/>
    <mergeCell ref="C58:C59"/>
    <mergeCell ref="D58:D59"/>
    <mergeCell ref="E56:E57"/>
    <mergeCell ref="E58:E59"/>
    <mergeCell ref="A58:A59"/>
    <mergeCell ref="B58:B59"/>
    <mergeCell ref="F58:F59"/>
    <mergeCell ref="E62:E63"/>
    <mergeCell ref="F62:F63"/>
    <mergeCell ref="G62:G63"/>
    <mergeCell ref="G58:G59"/>
    <mergeCell ref="E60:E61"/>
    <mergeCell ref="F60:F61"/>
    <mergeCell ref="G60:G61"/>
    <mergeCell ref="A60:A61"/>
    <mergeCell ref="B60:B61"/>
    <mergeCell ref="C60:C61"/>
    <mergeCell ref="D60:D61"/>
    <mergeCell ref="A62:A63"/>
    <mergeCell ref="B62:B63"/>
    <mergeCell ref="C62:C63"/>
    <mergeCell ref="D62:D63"/>
  </mergeCells>
  <phoneticPr fontId="3" type="noConversion"/>
  <printOptions horizontalCentered="1"/>
  <pageMargins left="0.39370078740157483" right="0.39370078740157483" top="0.98425196850393704" bottom="0.98425196850393704" header="0.70866141732283472" footer="0.31496062992125984"/>
  <pageSetup paperSize="9" scale="98" orientation="portrait" horizontalDpi="4294967292" r:id="rId1"/>
  <headerFooter alignWithMargins="0">
    <oddFooter>&amp;R자연생태복원녹화공법협회
(주)  슈  펙  스</oddFooter>
  </headerFooter>
  <drawing r:id="rId2"/>
  <legacyDrawing r:id="rId3"/>
</worksheet>
</file>

<file path=xl/worksheets/sheet69.xml><?xml version="1.0" encoding="utf-8"?>
<worksheet xmlns="http://schemas.openxmlformats.org/spreadsheetml/2006/main" xmlns:r="http://schemas.openxmlformats.org/officeDocument/2006/relationships">
  <sheetPr codeName="Sheet12"/>
  <dimension ref="A1:H454"/>
  <sheetViews>
    <sheetView topLeftCell="A283" workbookViewId="0">
      <selection activeCell="P6" sqref="P6"/>
    </sheetView>
  </sheetViews>
  <sheetFormatPr defaultRowHeight="30" customHeight="1"/>
  <cols>
    <col min="1" max="1" width="10.77734375" style="22" customWidth="1"/>
    <col min="2" max="2" width="12.77734375" style="22" customWidth="1"/>
    <col min="3" max="3" width="10.77734375" style="20" customWidth="1"/>
    <col min="4" max="4" width="6.77734375" style="22" customWidth="1"/>
    <col min="5" max="5" width="10.77734375" style="23" customWidth="1"/>
    <col min="6" max="6" width="10.77734375" style="20" customWidth="1"/>
    <col min="7" max="7" width="8.77734375" style="22" customWidth="1"/>
    <col min="8" max="8" width="9.44140625" style="19" customWidth="1"/>
    <col min="9" max="16384" width="8.88671875" style="20"/>
  </cols>
  <sheetData>
    <row r="1" spans="1:7" ht="30" customHeight="1">
      <c r="A1" s="14"/>
      <c r="B1" s="15"/>
      <c r="C1" s="16"/>
      <c r="D1" s="15"/>
      <c r="E1" s="17"/>
      <c r="F1" s="16"/>
      <c r="G1" s="18"/>
    </row>
    <row r="2" spans="1:7" ht="30" customHeight="1">
      <c r="A2" s="25" t="s">
        <v>1038</v>
      </c>
      <c r="B2" s="26"/>
      <c r="C2" s="26"/>
      <c r="D2" s="26"/>
      <c r="E2" s="27"/>
      <c r="F2" s="26"/>
      <c r="G2" s="24"/>
    </row>
    <row r="3" spans="1:7" ht="30" customHeight="1">
      <c r="A3" s="25"/>
      <c r="B3" s="26"/>
      <c r="C3" s="26"/>
      <c r="D3" s="26"/>
      <c r="E3" s="27"/>
      <c r="F3" s="26"/>
      <c r="G3" s="24"/>
    </row>
    <row r="4" spans="1:7" ht="30" customHeight="1">
      <c r="A4" s="21"/>
      <c r="G4" s="24"/>
    </row>
    <row r="5" spans="1:7" ht="30" customHeight="1">
      <c r="A5" s="28" t="s">
        <v>932</v>
      </c>
      <c r="B5" s="20" t="s">
        <v>933</v>
      </c>
      <c r="G5" s="24"/>
    </row>
    <row r="6" spans="1:7" ht="30" customHeight="1">
      <c r="A6" s="21"/>
      <c r="B6" s="29" t="s">
        <v>905</v>
      </c>
      <c r="C6" s="30">
        <f ca="1">'8.0자재단가'!I5</f>
        <v>1257.5</v>
      </c>
      <c r="D6" s="31" t="s">
        <v>1563</v>
      </c>
      <c r="G6" s="24"/>
    </row>
    <row r="7" spans="1:7" ht="30" customHeight="1">
      <c r="A7" s="21"/>
      <c r="B7" s="20"/>
      <c r="G7" s="24"/>
    </row>
    <row r="8" spans="1:7" ht="30" customHeight="1">
      <c r="A8" s="28" t="s">
        <v>932</v>
      </c>
      <c r="B8" s="31" t="s">
        <v>934</v>
      </c>
      <c r="C8" s="32"/>
      <c r="D8" s="32"/>
      <c r="F8" s="31"/>
      <c r="G8" s="33"/>
    </row>
    <row r="9" spans="1:7" ht="30" customHeight="1">
      <c r="A9" s="21"/>
      <c r="B9" s="29" t="s">
        <v>935</v>
      </c>
      <c r="C9" s="34">
        <f ca="1">'8.0자재단가'!I6</f>
        <v>1114</v>
      </c>
      <c r="D9" s="31" t="s">
        <v>1602</v>
      </c>
      <c r="F9" s="31"/>
      <c r="G9" s="33"/>
    </row>
    <row r="10" spans="1:7" ht="30" customHeight="1">
      <c r="A10" s="21"/>
      <c r="B10" s="29" t="s">
        <v>936</v>
      </c>
      <c r="C10" s="35">
        <f ca="1">'8.0자재단가'!I7</f>
        <v>1085</v>
      </c>
      <c r="D10" s="31" t="s">
        <v>1602</v>
      </c>
      <c r="G10" s="24"/>
    </row>
    <row r="11" spans="1:7" ht="30" customHeight="1">
      <c r="A11" s="21"/>
      <c r="B11" s="20"/>
      <c r="C11" s="31"/>
      <c r="F11" s="29"/>
      <c r="G11" s="33"/>
    </row>
    <row r="12" spans="1:7" ht="30" customHeight="1">
      <c r="A12" s="28" t="s">
        <v>932</v>
      </c>
      <c r="B12" s="20" t="s">
        <v>937</v>
      </c>
      <c r="C12" s="31"/>
      <c r="F12" s="36"/>
      <c r="G12" s="33"/>
    </row>
    <row r="13" spans="1:7" ht="30" customHeight="1">
      <c r="A13" s="21"/>
      <c r="B13" s="29" t="s">
        <v>938</v>
      </c>
      <c r="C13" s="37">
        <f ca="1">'11.0시중노임'!$F$7</f>
        <v>98693</v>
      </c>
      <c r="D13" s="20" t="s">
        <v>939</v>
      </c>
      <c r="F13" s="38">
        <f>TRUNC(C13*1/8*16/12*25/20,1)</f>
        <v>20561</v>
      </c>
      <c r="G13" s="24"/>
    </row>
    <row r="14" spans="1:7" ht="30" customHeight="1">
      <c r="A14" s="21"/>
      <c r="B14" s="31" t="s">
        <v>940</v>
      </c>
      <c r="C14" s="37">
        <f ca="1">'11.0시중노임'!$F$9</f>
        <v>84942</v>
      </c>
      <c r="D14" s="20" t="s">
        <v>939</v>
      </c>
      <c r="F14" s="38">
        <f>TRUNC(C14*1/8*16/12*25/20,1)</f>
        <v>17696.2</v>
      </c>
      <c r="G14" s="24"/>
    </row>
    <row r="15" spans="1:7" ht="30" customHeight="1">
      <c r="A15" s="21"/>
      <c r="B15" s="31" t="s">
        <v>941</v>
      </c>
      <c r="C15" s="37">
        <f ca="1">'11.0시중노임'!$F$10</f>
        <v>71594</v>
      </c>
      <c r="D15" s="20" t="s">
        <v>939</v>
      </c>
      <c r="F15" s="38">
        <f>TRUNC(C15*1/8*16/12*25/20,1)</f>
        <v>14915.4</v>
      </c>
      <c r="G15" s="24"/>
    </row>
    <row r="16" spans="1:7" ht="30" customHeight="1">
      <c r="A16" s="21"/>
      <c r="B16" s="29" t="s">
        <v>942</v>
      </c>
      <c r="C16" s="37">
        <f ca="1">'11.0시중노임'!$F$11</f>
        <v>55784</v>
      </c>
      <c r="D16" s="20" t="s">
        <v>939</v>
      </c>
      <c r="F16" s="38">
        <f>TRUNC(C16*1/8*16/12*25/20,1)</f>
        <v>11621.6</v>
      </c>
      <c r="G16" s="24"/>
    </row>
    <row r="17" spans="1:8" ht="30" customHeight="1">
      <c r="A17" s="21"/>
      <c r="B17" s="29" t="s">
        <v>943</v>
      </c>
      <c r="C17" s="37">
        <f ca="1">'11.0시중노임'!$F$8</f>
        <v>94350</v>
      </c>
      <c r="D17" s="20" t="s">
        <v>939</v>
      </c>
      <c r="F17" s="38">
        <f>TRUNC(C17*1/8*16/12*25/20,1)</f>
        <v>19656.2</v>
      </c>
      <c r="G17" s="24"/>
    </row>
    <row r="18" spans="1:8" ht="30" customHeight="1">
      <c r="A18" s="21"/>
      <c r="B18" s="29"/>
      <c r="C18" s="37"/>
      <c r="D18" s="20"/>
      <c r="F18" s="38"/>
      <c r="G18" s="24"/>
    </row>
    <row r="19" spans="1:8" ht="30" customHeight="1">
      <c r="A19" s="21"/>
      <c r="B19" s="29"/>
      <c r="C19" s="37"/>
      <c r="D19" s="20"/>
      <c r="F19" s="38"/>
      <c r="G19" s="24"/>
    </row>
    <row r="20" spans="1:8" ht="30" customHeight="1">
      <c r="A20" s="21"/>
      <c r="B20" s="29"/>
      <c r="C20" s="37"/>
      <c r="D20" s="20"/>
      <c r="F20" s="38"/>
      <c r="G20" s="24"/>
    </row>
    <row r="21" spans="1:8" ht="30" customHeight="1">
      <c r="A21" s="39"/>
      <c r="B21" s="84"/>
      <c r="C21" s="85"/>
      <c r="D21" s="40"/>
      <c r="E21" s="41"/>
      <c r="F21" s="86"/>
      <c r="G21" s="42"/>
    </row>
    <row r="22" spans="1:8" ht="20.100000000000001" customHeight="1">
      <c r="A22" s="15"/>
      <c r="B22" s="15"/>
      <c r="C22" s="16"/>
      <c r="D22" s="15"/>
      <c r="E22" s="17"/>
      <c r="F22" s="16"/>
      <c r="G22" s="15"/>
    </row>
    <row r="23" spans="1:8" s="30" customFormat="1" ht="20.100000000000001" customHeight="1">
      <c r="H23" s="19"/>
    </row>
    <row r="24" spans="1:8" s="94" customFormat="1" ht="20.100000000000001" customHeight="1">
      <c r="A24" s="87" t="s">
        <v>944</v>
      </c>
      <c r="B24" s="88" t="s">
        <v>874</v>
      </c>
      <c r="C24" s="89"/>
      <c r="D24" s="90"/>
      <c r="E24" s="91"/>
      <c r="F24" s="88"/>
      <c r="G24" s="92"/>
      <c r="H24" s="93"/>
    </row>
    <row r="25" spans="1:8" ht="20.100000000000001" customHeight="1">
      <c r="A25" s="43" t="s">
        <v>945</v>
      </c>
      <c r="B25" s="44">
        <v>58240</v>
      </c>
      <c r="C25" s="30" t="s">
        <v>946</v>
      </c>
      <c r="D25" s="45"/>
      <c r="F25" s="30"/>
      <c r="G25" s="33"/>
    </row>
    <row r="26" spans="1:8" ht="20.100000000000001" customHeight="1">
      <c r="A26" s="46" t="s">
        <v>947</v>
      </c>
      <c r="B26" s="47" t="s">
        <v>948</v>
      </c>
      <c r="C26" s="47" t="s">
        <v>949</v>
      </c>
      <c r="D26" s="48" t="s">
        <v>950</v>
      </c>
      <c r="E26" s="49" t="s">
        <v>927</v>
      </c>
      <c r="F26" s="47" t="s">
        <v>951</v>
      </c>
      <c r="G26" s="50" t="s">
        <v>952</v>
      </c>
    </row>
    <row r="27" spans="1:8" ht="20.100000000000001" customHeight="1">
      <c r="A27" s="52" t="s">
        <v>819</v>
      </c>
      <c r="B27" s="47" t="s">
        <v>953</v>
      </c>
      <c r="C27" s="53"/>
      <c r="D27" s="47" t="s">
        <v>987</v>
      </c>
      <c r="E27" s="54"/>
      <c r="F27" s="55">
        <f>TRUNC(C27*E27,2)</f>
        <v>0</v>
      </c>
      <c r="G27" s="56"/>
    </row>
    <row r="28" spans="1:8" ht="20.100000000000001" customHeight="1">
      <c r="A28" s="43"/>
      <c r="B28" s="48" t="s">
        <v>954</v>
      </c>
      <c r="C28" s="57"/>
      <c r="D28" s="47" t="s">
        <v>955</v>
      </c>
      <c r="E28" s="58"/>
      <c r="F28" s="59">
        <f>TRUNC(F27*C28%,2)</f>
        <v>0</v>
      </c>
      <c r="G28" s="56"/>
    </row>
    <row r="29" spans="1:8" ht="20.100000000000001" customHeight="1">
      <c r="A29" s="43"/>
      <c r="B29" s="47" t="s">
        <v>956</v>
      </c>
      <c r="C29" s="57"/>
      <c r="D29" s="48"/>
      <c r="E29" s="58"/>
      <c r="F29" s="59">
        <f>TRUNC(SUM(F27:F28),0)</f>
        <v>0</v>
      </c>
      <c r="G29" s="60"/>
    </row>
    <row r="30" spans="1:8" ht="20.100000000000001" customHeight="1">
      <c r="A30" s="52" t="s">
        <v>818</v>
      </c>
      <c r="B30" s="47" t="s">
        <v>957</v>
      </c>
      <c r="C30" s="53"/>
      <c r="D30" s="47" t="s">
        <v>820</v>
      </c>
      <c r="E30" s="54"/>
      <c r="F30" s="55">
        <f>TRUNC(C30*E30,2)</f>
        <v>0</v>
      </c>
      <c r="G30" s="60"/>
    </row>
    <row r="31" spans="1:8" ht="20.100000000000001" customHeight="1">
      <c r="A31" s="43"/>
      <c r="B31" s="47" t="s">
        <v>962</v>
      </c>
      <c r="C31" s="53"/>
      <c r="D31" s="47" t="s">
        <v>820</v>
      </c>
      <c r="E31" s="54"/>
      <c r="F31" s="55">
        <f>TRUNC(C31*E31,2)</f>
        <v>0</v>
      </c>
      <c r="G31" s="60"/>
    </row>
    <row r="32" spans="1:8" ht="20.100000000000001" customHeight="1">
      <c r="A32" s="43"/>
      <c r="B32" s="47" t="s">
        <v>973</v>
      </c>
      <c r="C32" s="53"/>
      <c r="D32" s="47" t="s">
        <v>820</v>
      </c>
      <c r="E32" s="54"/>
      <c r="F32" s="55">
        <f>TRUNC(C32*E32,2)</f>
        <v>0</v>
      </c>
      <c r="G32" s="60"/>
    </row>
    <row r="33" spans="1:8" ht="20.100000000000001" customHeight="1">
      <c r="A33" s="43"/>
      <c r="B33" s="48" t="s">
        <v>956</v>
      </c>
      <c r="C33" s="57"/>
      <c r="D33" s="47"/>
      <c r="E33" s="54"/>
      <c r="F33" s="55">
        <f>TRUNC(SUM(F30:F32),0)</f>
        <v>0</v>
      </c>
      <c r="G33" s="56"/>
    </row>
    <row r="34" spans="1:8" ht="20.100000000000001" customHeight="1">
      <c r="A34" s="52" t="s">
        <v>958</v>
      </c>
      <c r="B34" s="47" t="s">
        <v>959</v>
      </c>
      <c r="C34" s="57">
        <v>0.42880000000000001</v>
      </c>
      <c r="D34" s="47"/>
      <c r="E34" s="54">
        <f>B25</f>
        <v>58240</v>
      </c>
      <c r="F34" s="55">
        <f>TRUNC(C34*E34,2)</f>
        <v>24973.31</v>
      </c>
      <c r="G34" s="56"/>
    </row>
    <row r="35" spans="1:8" ht="20.100000000000001" customHeight="1">
      <c r="A35" s="43"/>
      <c r="B35" s="48" t="s">
        <v>956</v>
      </c>
      <c r="C35" s="57"/>
      <c r="D35" s="47"/>
      <c r="E35" s="54"/>
      <c r="F35" s="98">
        <f>TRUNC(SUM(F34:F34),0)</f>
        <v>24973</v>
      </c>
      <c r="G35" s="56"/>
    </row>
    <row r="36" spans="1:8" ht="20.100000000000001" customHeight="1">
      <c r="A36" s="52"/>
      <c r="B36" s="47"/>
      <c r="C36" s="61"/>
      <c r="D36" s="47"/>
      <c r="E36" s="62"/>
      <c r="F36" s="55"/>
      <c r="G36" s="56"/>
    </row>
    <row r="37" spans="1:8" ht="20.100000000000001" customHeight="1">
      <c r="A37" s="43"/>
      <c r="B37" s="63"/>
      <c r="C37" s="69"/>
      <c r="D37" s="63"/>
      <c r="E37" s="70"/>
      <c r="F37" s="66"/>
      <c r="G37" s="67"/>
    </row>
    <row r="38" spans="1:8" ht="20.100000000000001" customHeight="1">
      <c r="A38" s="71" t="s">
        <v>960</v>
      </c>
      <c r="B38" s="72"/>
      <c r="C38" s="73"/>
      <c r="D38" s="74"/>
      <c r="E38" s="75"/>
      <c r="F38" s="100">
        <f>TRUNC(F29+F33+F35,0)</f>
        <v>24973</v>
      </c>
      <c r="G38" s="76"/>
    </row>
    <row r="39" spans="1:8" ht="20.100000000000001" customHeight="1">
      <c r="A39" s="45"/>
      <c r="B39" s="77"/>
      <c r="C39" s="78"/>
      <c r="D39" s="45"/>
      <c r="F39" s="81"/>
      <c r="G39" s="79"/>
    </row>
    <row r="40" spans="1:8" s="30" customFormat="1" ht="20.100000000000001" customHeight="1">
      <c r="H40" s="19"/>
    </row>
    <row r="41" spans="1:8" s="95" customFormat="1" ht="20.100000000000001" customHeight="1">
      <c r="A41" s="87" t="s">
        <v>944</v>
      </c>
      <c r="B41" s="88" t="s">
        <v>907</v>
      </c>
      <c r="C41" s="89"/>
      <c r="D41" s="90"/>
      <c r="E41" s="91"/>
      <c r="F41" s="88"/>
      <c r="G41" s="92"/>
      <c r="H41" s="93"/>
    </row>
    <row r="42" spans="1:8" s="30" customFormat="1" ht="20.100000000000001" customHeight="1">
      <c r="A42" s="43" t="s">
        <v>945</v>
      </c>
      <c r="B42" s="44">
        <v>28000</v>
      </c>
      <c r="C42" s="80" t="s">
        <v>961</v>
      </c>
      <c r="D42" s="83" t="s">
        <v>923</v>
      </c>
      <c r="E42" s="23"/>
      <c r="G42" s="33"/>
      <c r="H42" s="19"/>
    </row>
    <row r="43" spans="1:8" s="30" customFormat="1" ht="20.100000000000001" customHeight="1">
      <c r="A43" s="46" t="s">
        <v>947</v>
      </c>
      <c r="B43" s="47" t="s">
        <v>948</v>
      </c>
      <c r="C43" s="47" t="s">
        <v>949</v>
      </c>
      <c r="D43" s="48" t="s">
        <v>950</v>
      </c>
      <c r="E43" s="49" t="s">
        <v>927</v>
      </c>
      <c r="F43" s="47" t="s">
        <v>951</v>
      </c>
      <c r="G43" s="50" t="s">
        <v>952</v>
      </c>
      <c r="H43" s="19"/>
    </row>
    <row r="44" spans="1:8" s="30" customFormat="1" ht="20.100000000000001" customHeight="1">
      <c r="A44" s="52" t="s">
        <v>819</v>
      </c>
      <c r="B44" s="47" t="s">
        <v>953</v>
      </c>
      <c r="C44" s="53">
        <v>23.5</v>
      </c>
      <c r="D44" s="47" t="s">
        <v>987</v>
      </c>
      <c r="E44" s="54">
        <f>C10</f>
        <v>1085</v>
      </c>
      <c r="F44" s="55">
        <f>TRUNC(C44*E44,2)</f>
        <v>25497.5</v>
      </c>
      <c r="G44" s="56"/>
      <c r="H44" s="19"/>
    </row>
    <row r="45" spans="1:8" s="51" customFormat="1" ht="20.100000000000001" customHeight="1">
      <c r="A45" s="43"/>
      <c r="B45" s="48" t="s">
        <v>954</v>
      </c>
      <c r="C45" s="57">
        <v>16</v>
      </c>
      <c r="D45" s="47" t="s">
        <v>955</v>
      </c>
      <c r="E45" s="58"/>
      <c r="F45" s="59">
        <f>TRUNC(F44*C45%,2)</f>
        <v>4079.6</v>
      </c>
      <c r="G45" s="56"/>
      <c r="H45" s="19"/>
    </row>
    <row r="46" spans="1:8" s="30" customFormat="1" ht="20.100000000000001" customHeight="1">
      <c r="A46" s="43"/>
      <c r="B46" s="47" t="s">
        <v>956</v>
      </c>
      <c r="C46" s="57"/>
      <c r="D46" s="48"/>
      <c r="E46" s="58"/>
      <c r="F46" s="99">
        <f>TRUNC(SUM(F44:F45),0)</f>
        <v>29577</v>
      </c>
      <c r="G46" s="60"/>
      <c r="H46" s="19"/>
    </row>
    <row r="47" spans="1:8" s="30" customFormat="1" ht="20.100000000000001" customHeight="1">
      <c r="A47" s="52" t="s">
        <v>818</v>
      </c>
      <c r="B47" s="47" t="s">
        <v>957</v>
      </c>
      <c r="C47" s="53">
        <v>1</v>
      </c>
      <c r="D47" s="47" t="s">
        <v>820</v>
      </c>
      <c r="E47" s="54">
        <f>$F$13</f>
        <v>20561</v>
      </c>
      <c r="F47" s="55">
        <f>TRUNC(C47*E47,2)</f>
        <v>20561</v>
      </c>
      <c r="G47" s="60" t="s">
        <v>1032</v>
      </c>
      <c r="H47" s="19"/>
    </row>
    <row r="48" spans="1:8" s="30" customFormat="1" ht="20.100000000000001" customHeight="1">
      <c r="A48" s="43"/>
      <c r="B48" s="48" t="s">
        <v>956</v>
      </c>
      <c r="C48" s="57"/>
      <c r="D48" s="47"/>
      <c r="E48" s="54"/>
      <c r="F48" s="98">
        <f>TRUNC(SUM(F47:F47),0)</f>
        <v>20561</v>
      </c>
      <c r="G48" s="56"/>
      <c r="H48" s="19"/>
    </row>
    <row r="49" spans="1:8" s="30" customFormat="1" ht="20.100000000000001" customHeight="1">
      <c r="A49" s="52" t="s">
        <v>958</v>
      </c>
      <c r="B49" s="47" t="s">
        <v>959</v>
      </c>
      <c r="C49" s="57">
        <v>0.1663</v>
      </c>
      <c r="D49" s="47"/>
      <c r="E49" s="54">
        <f>B42</f>
        <v>28000</v>
      </c>
      <c r="F49" s="55">
        <f>TRUNC(C49*E49,2)</f>
        <v>4656.3999999999996</v>
      </c>
      <c r="G49" s="56"/>
      <c r="H49" s="19"/>
    </row>
    <row r="50" spans="1:8" s="30" customFormat="1" ht="20.100000000000001" customHeight="1">
      <c r="A50" s="43"/>
      <c r="B50" s="48" t="s">
        <v>956</v>
      </c>
      <c r="C50" s="57"/>
      <c r="D50" s="47"/>
      <c r="E50" s="54"/>
      <c r="F50" s="98">
        <f>TRUNC(SUM(F49:F49),0)</f>
        <v>4656</v>
      </c>
      <c r="G50" s="56"/>
      <c r="H50" s="19"/>
    </row>
    <row r="51" spans="1:8" s="30" customFormat="1" ht="20.100000000000001" customHeight="1">
      <c r="A51" s="52"/>
      <c r="B51" s="47"/>
      <c r="C51" s="61"/>
      <c r="D51" s="47"/>
      <c r="E51" s="62"/>
      <c r="F51" s="55"/>
      <c r="G51" s="56"/>
      <c r="H51" s="19"/>
    </row>
    <row r="52" spans="1:8" s="30" customFormat="1" ht="20.100000000000001" customHeight="1">
      <c r="A52" s="43"/>
      <c r="B52" s="63"/>
      <c r="C52" s="64"/>
      <c r="D52" s="63"/>
      <c r="E52" s="65"/>
      <c r="F52" s="66"/>
      <c r="G52" s="67"/>
      <c r="H52" s="19"/>
    </row>
    <row r="53" spans="1:8" s="30" customFormat="1" ht="20.100000000000001" customHeight="1">
      <c r="A53" s="43"/>
      <c r="B53" s="63"/>
      <c r="C53" s="64"/>
      <c r="D53" s="63"/>
      <c r="E53" s="65"/>
      <c r="F53" s="66"/>
      <c r="G53" s="67"/>
      <c r="H53" s="19"/>
    </row>
    <row r="54" spans="1:8" s="30" customFormat="1" ht="20.100000000000001" customHeight="1">
      <c r="A54" s="71" t="s">
        <v>960</v>
      </c>
      <c r="B54" s="72"/>
      <c r="C54" s="73"/>
      <c r="D54" s="74"/>
      <c r="E54" s="75"/>
      <c r="F54" s="100">
        <f>F46+F48+F50</f>
        <v>54794</v>
      </c>
      <c r="G54" s="76"/>
      <c r="H54" s="19"/>
    </row>
    <row r="55" spans="1:8" s="30" customFormat="1" ht="20.100000000000001" customHeight="1">
      <c r="A55" s="45"/>
      <c r="B55" s="77"/>
      <c r="C55" s="78"/>
      <c r="D55" s="45"/>
      <c r="E55" s="23"/>
      <c r="F55" s="81"/>
      <c r="G55" s="79"/>
      <c r="H55" s="19"/>
    </row>
    <row r="56" spans="1:8" s="30" customFormat="1" ht="20.100000000000001" customHeight="1">
      <c r="H56" s="19"/>
    </row>
    <row r="57" spans="1:8" s="95" customFormat="1" ht="20.100000000000001" customHeight="1">
      <c r="A57" s="87" t="s">
        <v>944</v>
      </c>
      <c r="B57" s="96" t="s">
        <v>908</v>
      </c>
      <c r="C57" s="89"/>
      <c r="D57" s="90"/>
      <c r="E57" s="91"/>
      <c r="F57" s="96"/>
      <c r="G57" s="92"/>
      <c r="H57" s="93"/>
    </row>
    <row r="58" spans="1:8" s="30" customFormat="1" ht="20.100000000000001" customHeight="1">
      <c r="A58" s="43" t="s">
        <v>945</v>
      </c>
      <c r="B58" s="35">
        <v>19764</v>
      </c>
      <c r="C58" s="80" t="s">
        <v>961</v>
      </c>
      <c r="D58" s="83" t="s">
        <v>924</v>
      </c>
      <c r="E58" s="23"/>
      <c r="G58" s="33"/>
      <c r="H58" s="19"/>
    </row>
    <row r="59" spans="1:8" s="30" customFormat="1" ht="20.100000000000001" customHeight="1">
      <c r="A59" s="46" t="s">
        <v>947</v>
      </c>
      <c r="B59" s="47" t="s">
        <v>948</v>
      </c>
      <c r="C59" s="47" t="s">
        <v>949</v>
      </c>
      <c r="D59" s="48" t="s">
        <v>950</v>
      </c>
      <c r="E59" s="49" t="s">
        <v>927</v>
      </c>
      <c r="F59" s="47" t="s">
        <v>951</v>
      </c>
      <c r="G59" s="50" t="s">
        <v>952</v>
      </c>
      <c r="H59" s="19"/>
    </row>
    <row r="60" spans="1:8" s="30" customFormat="1" ht="20.100000000000001" customHeight="1">
      <c r="A60" s="52" t="s">
        <v>819</v>
      </c>
      <c r="B60" s="47" t="s">
        <v>953</v>
      </c>
      <c r="C60" s="53">
        <v>17.399999999999999</v>
      </c>
      <c r="D60" s="47" t="s">
        <v>987</v>
      </c>
      <c r="E60" s="54">
        <f>$C$10</f>
        <v>1085</v>
      </c>
      <c r="F60" s="55">
        <f>TRUNC(C60*E60,2)</f>
        <v>18879</v>
      </c>
      <c r="G60" s="56"/>
      <c r="H60" s="19"/>
    </row>
    <row r="61" spans="1:8" s="30" customFormat="1" ht="20.100000000000001" customHeight="1">
      <c r="A61" s="43"/>
      <c r="B61" s="48" t="s">
        <v>954</v>
      </c>
      <c r="C61" s="57">
        <v>24</v>
      </c>
      <c r="D61" s="47" t="s">
        <v>955</v>
      </c>
      <c r="E61" s="58"/>
      <c r="F61" s="59">
        <f>TRUNC(F60*C61%,2)</f>
        <v>4530.96</v>
      </c>
      <c r="G61" s="56"/>
      <c r="H61" s="19"/>
    </row>
    <row r="62" spans="1:8" s="30" customFormat="1" ht="20.100000000000001" customHeight="1">
      <c r="A62" s="43"/>
      <c r="B62" s="47" t="s">
        <v>956</v>
      </c>
      <c r="C62" s="57"/>
      <c r="D62" s="48"/>
      <c r="E62" s="58"/>
      <c r="F62" s="99">
        <f>TRUNC(SUM(F60:F61),0)</f>
        <v>23409</v>
      </c>
      <c r="G62" s="60"/>
      <c r="H62" s="19"/>
    </row>
    <row r="63" spans="1:8" s="30" customFormat="1" ht="20.100000000000001" customHeight="1">
      <c r="A63" s="52" t="s">
        <v>818</v>
      </c>
      <c r="B63" s="47" t="s">
        <v>957</v>
      </c>
      <c r="C63" s="53">
        <v>1</v>
      </c>
      <c r="D63" s="47" t="s">
        <v>820</v>
      </c>
      <c r="E63" s="54">
        <f>$F$15</f>
        <v>14915.4</v>
      </c>
      <c r="F63" s="55">
        <f>TRUNC(C63*E63,2)</f>
        <v>14915.4</v>
      </c>
      <c r="G63" s="60" t="s">
        <v>1033</v>
      </c>
      <c r="H63" s="19"/>
    </row>
    <row r="64" spans="1:8" s="30" customFormat="1" ht="20.100000000000001" customHeight="1">
      <c r="A64" s="43"/>
      <c r="B64" s="48" t="s">
        <v>956</v>
      </c>
      <c r="C64" s="57"/>
      <c r="D64" s="47"/>
      <c r="E64" s="54"/>
      <c r="F64" s="98">
        <f>TRUNC(SUM(F63:F63),0)</f>
        <v>14915</v>
      </c>
      <c r="G64" s="56"/>
      <c r="H64" s="19"/>
    </row>
    <row r="65" spans="1:8" s="30" customFormat="1" ht="20.100000000000001" customHeight="1">
      <c r="A65" s="52" t="s">
        <v>958</v>
      </c>
      <c r="B65" s="47" t="s">
        <v>959</v>
      </c>
      <c r="C65" s="57">
        <v>0.22939999999999999</v>
      </c>
      <c r="D65" s="47"/>
      <c r="E65" s="54">
        <f>B58</f>
        <v>19764</v>
      </c>
      <c r="F65" s="55">
        <f>TRUNC(C65*E65,2)</f>
        <v>4533.8599999999997</v>
      </c>
      <c r="G65" s="56"/>
      <c r="H65" s="19"/>
    </row>
    <row r="66" spans="1:8" s="30" customFormat="1" ht="20.100000000000001" customHeight="1">
      <c r="A66" s="43"/>
      <c r="B66" s="48" t="s">
        <v>956</v>
      </c>
      <c r="C66" s="57"/>
      <c r="D66" s="47"/>
      <c r="E66" s="54"/>
      <c r="F66" s="98">
        <f>TRUNC(SUM(F65:F65),0)</f>
        <v>4533</v>
      </c>
      <c r="G66" s="56"/>
      <c r="H66" s="19"/>
    </row>
    <row r="67" spans="1:8" s="30" customFormat="1" ht="20.100000000000001" customHeight="1">
      <c r="A67" s="52"/>
      <c r="B67" s="47"/>
      <c r="C67" s="61"/>
      <c r="D67" s="47"/>
      <c r="E67" s="62"/>
      <c r="F67" s="55"/>
      <c r="G67" s="56"/>
      <c r="H67" s="19"/>
    </row>
    <row r="68" spans="1:8" s="30" customFormat="1" ht="20.100000000000001" customHeight="1">
      <c r="A68" s="43"/>
      <c r="B68" s="63"/>
      <c r="C68" s="64"/>
      <c r="D68" s="63"/>
      <c r="E68" s="65"/>
      <c r="F68" s="66"/>
      <c r="G68" s="67"/>
      <c r="H68" s="19"/>
    </row>
    <row r="69" spans="1:8" s="30" customFormat="1" ht="20.100000000000001" customHeight="1">
      <c r="A69" s="43"/>
      <c r="B69" s="63"/>
      <c r="C69" s="69"/>
      <c r="D69" s="63"/>
      <c r="E69" s="70"/>
      <c r="F69" s="66"/>
      <c r="G69" s="67"/>
      <c r="H69" s="19"/>
    </row>
    <row r="70" spans="1:8" s="30" customFormat="1" ht="20.100000000000001" customHeight="1">
      <c r="A70" s="71" t="s">
        <v>960</v>
      </c>
      <c r="B70" s="72"/>
      <c r="C70" s="73"/>
      <c r="D70" s="74"/>
      <c r="E70" s="75"/>
      <c r="F70" s="100">
        <f>F62+F64+F66</f>
        <v>42857</v>
      </c>
      <c r="G70" s="76"/>
      <c r="H70" s="19"/>
    </row>
    <row r="71" spans="1:8" s="30" customFormat="1" ht="20.100000000000001" customHeight="1">
      <c r="H71" s="19"/>
    </row>
    <row r="72" spans="1:8" s="30" customFormat="1" ht="20.100000000000001" customHeight="1">
      <c r="H72" s="19"/>
    </row>
    <row r="73" spans="1:8" s="95" customFormat="1" ht="20.100000000000001" customHeight="1">
      <c r="A73" s="87" t="s">
        <v>944</v>
      </c>
      <c r="B73" s="88" t="s">
        <v>910</v>
      </c>
      <c r="C73" s="89"/>
      <c r="D73" s="90"/>
      <c r="E73" s="91"/>
      <c r="F73" s="88"/>
      <c r="G73" s="92"/>
      <c r="H73" s="93"/>
    </row>
    <row r="74" spans="1:8" s="30" customFormat="1" ht="20.100000000000001" customHeight="1">
      <c r="A74" s="43" t="s">
        <v>945</v>
      </c>
      <c r="B74" s="35">
        <v>41399</v>
      </c>
      <c r="C74" s="80" t="s">
        <v>961</v>
      </c>
      <c r="D74" s="83" t="s">
        <v>923</v>
      </c>
      <c r="E74" s="23"/>
      <c r="G74" s="33"/>
      <c r="H74" s="19"/>
    </row>
    <row r="75" spans="1:8" ht="20.100000000000001" customHeight="1">
      <c r="A75" s="46" t="s">
        <v>947</v>
      </c>
      <c r="B75" s="47" t="s">
        <v>948</v>
      </c>
      <c r="C75" s="47" t="s">
        <v>949</v>
      </c>
      <c r="D75" s="48" t="s">
        <v>950</v>
      </c>
      <c r="E75" s="49" t="s">
        <v>927</v>
      </c>
      <c r="F75" s="47" t="s">
        <v>951</v>
      </c>
      <c r="G75" s="50" t="s">
        <v>952</v>
      </c>
    </row>
    <row r="76" spans="1:8" ht="20.100000000000001" customHeight="1">
      <c r="A76" s="52" t="s">
        <v>819</v>
      </c>
      <c r="B76" s="47" t="s">
        <v>953</v>
      </c>
      <c r="C76" s="53">
        <v>5.0999999999999996</v>
      </c>
      <c r="D76" s="47" t="s">
        <v>987</v>
      </c>
      <c r="E76" s="54">
        <f>C10</f>
        <v>1085</v>
      </c>
      <c r="F76" s="55">
        <f>TRUNC(C76*E76,2)</f>
        <v>5533.5</v>
      </c>
      <c r="G76" s="56"/>
    </row>
    <row r="77" spans="1:8" ht="20.100000000000001" customHeight="1">
      <c r="A77" s="43"/>
      <c r="B77" s="48" t="s">
        <v>954</v>
      </c>
      <c r="C77" s="57">
        <v>20</v>
      </c>
      <c r="D77" s="47" t="s">
        <v>955</v>
      </c>
      <c r="E77" s="58"/>
      <c r="F77" s="59">
        <f>TRUNC(F76*C77%,2)</f>
        <v>1106.7</v>
      </c>
      <c r="G77" s="56"/>
    </row>
    <row r="78" spans="1:8" ht="20.100000000000001" customHeight="1">
      <c r="A78" s="43"/>
      <c r="B78" s="47" t="s">
        <v>956</v>
      </c>
      <c r="C78" s="57"/>
      <c r="D78" s="48"/>
      <c r="E78" s="58"/>
      <c r="F78" s="99">
        <f>TRUNC(SUM(F76:F77),0)</f>
        <v>6640</v>
      </c>
      <c r="G78" s="60"/>
    </row>
    <row r="79" spans="1:8" ht="20.100000000000001" customHeight="1">
      <c r="A79" s="52" t="s">
        <v>818</v>
      </c>
      <c r="B79" s="47" t="s">
        <v>957</v>
      </c>
      <c r="C79" s="53">
        <v>1</v>
      </c>
      <c r="D79" s="47" t="s">
        <v>820</v>
      </c>
      <c r="E79" s="54">
        <f>$F$14</f>
        <v>17696.2</v>
      </c>
      <c r="F79" s="55">
        <f>TRUNC(C79*E79,2)</f>
        <v>17696.2</v>
      </c>
      <c r="G79" s="60" t="s">
        <v>1034</v>
      </c>
    </row>
    <row r="80" spans="1:8" ht="20.100000000000001" customHeight="1">
      <c r="A80" s="43"/>
      <c r="B80" s="48" t="s">
        <v>956</v>
      </c>
      <c r="C80" s="57"/>
      <c r="D80" s="47"/>
      <c r="E80" s="54"/>
      <c r="F80" s="99">
        <f>TRUNC(SUM(F79:F79),0)</f>
        <v>17696</v>
      </c>
      <c r="G80" s="56"/>
    </row>
    <row r="81" spans="1:8" ht="20.100000000000001" customHeight="1">
      <c r="A81" s="52" t="s">
        <v>958</v>
      </c>
      <c r="B81" s="47" t="s">
        <v>959</v>
      </c>
      <c r="C81" s="57">
        <v>0.25030000000000002</v>
      </c>
      <c r="D81" s="47"/>
      <c r="E81" s="54">
        <f>B74</f>
        <v>41399</v>
      </c>
      <c r="F81" s="55">
        <f>TRUNC(C81*E81,2)</f>
        <v>10362.16</v>
      </c>
      <c r="G81" s="56"/>
    </row>
    <row r="82" spans="1:8" ht="20.100000000000001" customHeight="1">
      <c r="A82" s="43"/>
      <c r="B82" s="48" t="s">
        <v>956</v>
      </c>
      <c r="C82" s="57"/>
      <c r="D82" s="47"/>
      <c r="E82" s="54"/>
      <c r="F82" s="98">
        <f>TRUNC(SUM(F81:F81),0)</f>
        <v>10362</v>
      </c>
      <c r="G82" s="56"/>
    </row>
    <row r="83" spans="1:8" ht="20.100000000000001" customHeight="1">
      <c r="A83" s="52"/>
      <c r="B83" s="47"/>
      <c r="C83" s="61"/>
      <c r="D83" s="47"/>
      <c r="E83" s="62"/>
      <c r="F83" s="55"/>
      <c r="G83" s="56"/>
    </row>
    <row r="84" spans="1:8" ht="20.100000000000001" customHeight="1">
      <c r="A84" s="43"/>
      <c r="B84" s="63"/>
      <c r="C84" s="64"/>
      <c r="D84" s="63"/>
      <c r="E84" s="65"/>
      <c r="F84" s="66"/>
      <c r="G84" s="67"/>
    </row>
    <row r="85" spans="1:8" ht="20.100000000000001" customHeight="1">
      <c r="A85" s="43"/>
      <c r="B85" s="63"/>
      <c r="C85" s="64"/>
      <c r="D85" s="63"/>
      <c r="E85" s="65"/>
      <c r="F85" s="66"/>
      <c r="G85" s="67"/>
    </row>
    <row r="86" spans="1:8" ht="20.100000000000001" customHeight="1">
      <c r="A86" s="71" t="s">
        <v>960</v>
      </c>
      <c r="B86" s="72"/>
      <c r="C86" s="73"/>
      <c r="D86" s="74"/>
      <c r="E86" s="75"/>
      <c r="F86" s="100">
        <f>F78+F80+F82</f>
        <v>34698</v>
      </c>
      <c r="G86" s="76"/>
    </row>
    <row r="87" spans="1:8" ht="20.100000000000001" customHeight="1"/>
    <row r="88" spans="1:8" s="30" customFormat="1" ht="20.100000000000001" customHeight="1">
      <c r="H88" s="19"/>
    </row>
    <row r="89" spans="1:8" s="95" customFormat="1" ht="20.100000000000001" customHeight="1">
      <c r="A89" s="87" t="s">
        <v>944</v>
      </c>
      <c r="B89" s="88" t="s">
        <v>963</v>
      </c>
      <c r="C89" s="89"/>
      <c r="D89" s="90"/>
      <c r="E89" s="91"/>
      <c r="F89" s="96"/>
      <c r="G89" s="92"/>
      <c r="H89" s="93"/>
    </row>
    <row r="90" spans="1:8" s="30" customFormat="1" ht="20.100000000000001" customHeight="1">
      <c r="A90" s="43" t="s">
        <v>945</v>
      </c>
      <c r="B90" s="44">
        <v>38257</v>
      </c>
      <c r="C90" s="80" t="s">
        <v>961</v>
      </c>
      <c r="D90" s="97"/>
      <c r="E90" s="23"/>
      <c r="G90" s="33"/>
      <c r="H90" s="19"/>
    </row>
    <row r="91" spans="1:8" s="30" customFormat="1" ht="20.100000000000001" customHeight="1">
      <c r="A91" s="46" t="s">
        <v>947</v>
      </c>
      <c r="B91" s="47" t="s">
        <v>948</v>
      </c>
      <c r="C91" s="47" t="s">
        <v>949</v>
      </c>
      <c r="D91" s="48" t="s">
        <v>950</v>
      </c>
      <c r="E91" s="49" t="s">
        <v>927</v>
      </c>
      <c r="F91" s="47" t="s">
        <v>951</v>
      </c>
      <c r="G91" s="50" t="s">
        <v>952</v>
      </c>
      <c r="H91" s="19"/>
    </row>
    <row r="92" spans="1:8" s="30" customFormat="1" ht="20.100000000000001" customHeight="1">
      <c r="A92" s="52" t="s">
        <v>819</v>
      </c>
      <c r="B92" s="47" t="s">
        <v>953</v>
      </c>
      <c r="C92" s="53">
        <v>9.3000000000000007</v>
      </c>
      <c r="D92" s="47" t="s">
        <v>987</v>
      </c>
      <c r="E92" s="54">
        <f>C10</f>
        <v>1085</v>
      </c>
      <c r="F92" s="55">
        <f>TRUNC(C92*E92,2)</f>
        <v>10090.5</v>
      </c>
      <c r="G92" s="56"/>
      <c r="H92" s="19"/>
    </row>
    <row r="93" spans="1:8" s="30" customFormat="1" ht="20.100000000000001" customHeight="1">
      <c r="A93" s="43"/>
      <c r="B93" s="48" t="s">
        <v>954</v>
      </c>
      <c r="C93" s="57">
        <v>30</v>
      </c>
      <c r="D93" s="47" t="s">
        <v>955</v>
      </c>
      <c r="E93" s="58"/>
      <c r="F93" s="59">
        <f>TRUNC(F92*C93%,2)</f>
        <v>3027.15</v>
      </c>
      <c r="G93" s="56"/>
      <c r="H93" s="19"/>
    </row>
    <row r="94" spans="1:8" s="30" customFormat="1" ht="20.100000000000001" customHeight="1">
      <c r="A94" s="43"/>
      <c r="B94" s="47" t="s">
        <v>956</v>
      </c>
      <c r="C94" s="57"/>
      <c r="D94" s="48"/>
      <c r="E94" s="58"/>
      <c r="F94" s="99">
        <f>TRUNC(SUM(F92:F93),0)</f>
        <v>13117</v>
      </c>
      <c r="G94" s="60"/>
      <c r="H94" s="19"/>
    </row>
    <row r="95" spans="1:8" s="30" customFormat="1" ht="20.100000000000001" customHeight="1">
      <c r="A95" s="52" t="s">
        <v>818</v>
      </c>
      <c r="B95" s="47" t="s">
        <v>957</v>
      </c>
      <c r="C95" s="53">
        <v>1</v>
      </c>
      <c r="D95" s="47" t="s">
        <v>820</v>
      </c>
      <c r="E95" s="54">
        <f>$F$14</f>
        <v>17696.2</v>
      </c>
      <c r="F95" s="55">
        <f>TRUNC(C95*E95,2)</f>
        <v>17696.2</v>
      </c>
      <c r="G95" s="60" t="s">
        <v>1035</v>
      </c>
      <c r="H95" s="19"/>
    </row>
    <row r="96" spans="1:8" s="30" customFormat="1" ht="20.100000000000001" customHeight="1">
      <c r="A96" s="43"/>
      <c r="B96" s="48" t="s">
        <v>956</v>
      </c>
      <c r="C96" s="57"/>
      <c r="D96" s="47"/>
      <c r="E96" s="54"/>
      <c r="F96" s="99">
        <f>TRUNC(SUM(F95:F95),0)</f>
        <v>17696</v>
      </c>
      <c r="G96" s="56"/>
      <c r="H96" s="19"/>
    </row>
    <row r="97" spans="1:8" s="30" customFormat="1" ht="20.100000000000001" customHeight="1">
      <c r="A97" s="52" t="s">
        <v>958</v>
      </c>
      <c r="B97" s="47" t="s">
        <v>959</v>
      </c>
      <c r="C97" s="57">
        <v>0.20449999999999999</v>
      </c>
      <c r="D97" s="47"/>
      <c r="E97" s="54">
        <f>B90</f>
        <v>38257</v>
      </c>
      <c r="F97" s="55">
        <f>TRUNC(C97*E97,2)</f>
        <v>7823.55</v>
      </c>
      <c r="G97" s="56"/>
      <c r="H97" s="19"/>
    </row>
    <row r="98" spans="1:8" s="30" customFormat="1" ht="20.100000000000001" customHeight="1">
      <c r="A98" s="43"/>
      <c r="B98" s="48" t="s">
        <v>956</v>
      </c>
      <c r="C98" s="57"/>
      <c r="D98" s="47"/>
      <c r="E98" s="54"/>
      <c r="F98" s="98">
        <f>TRUNC(SUM(F97:F97),0)</f>
        <v>7823</v>
      </c>
      <c r="G98" s="56"/>
      <c r="H98" s="19"/>
    </row>
    <row r="99" spans="1:8" s="30" customFormat="1" ht="20.100000000000001" customHeight="1">
      <c r="A99" s="52"/>
      <c r="B99" s="47"/>
      <c r="C99" s="61"/>
      <c r="D99" s="47"/>
      <c r="E99" s="62"/>
      <c r="F99" s="55"/>
      <c r="G99" s="56"/>
      <c r="H99" s="19"/>
    </row>
    <row r="100" spans="1:8" s="30" customFormat="1" ht="20.100000000000001" customHeight="1">
      <c r="A100" s="43"/>
      <c r="B100" s="63"/>
      <c r="C100" s="69"/>
      <c r="D100" s="63"/>
      <c r="E100" s="70"/>
      <c r="F100" s="66"/>
      <c r="G100" s="67"/>
      <c r="H100" s="19"/>
    </row>
    <row r="101" spans="1:8" s="30" customFormat="1" ht="20.100000000000001" customHeight="1">
      <c r="A101" s="71" t="s">
        <v>960</v>
      </c>
      <c r="B101" s="72"/>
      <c r="C101" s="73"/>
      <c r="D101" s="74"/>
      <c r="E101" s="75"/>
      <c r="F101" s="100">
        <f>F94+F96+F98</f>
        <v>38636</v>
      </c>
      <c r="G101" s="76"/>
      <c r="H101" s="19"/>
    </row>
    <row r="102" spans="1:8" s="30" customFormat="1" ht="20.100000000000001" customHeight="1">
      <c r="H102" s="19"/>
    </row>
    <row r="103" spans="1:8" ht="20.100000000000001" customHeight="1">
      <c r="A103" s="206"/>
      <c r="B103" s="77"/>
      <c r="C103" s="78"/>
      <c r="D103" s="45"/>
      <c r="F103" s="81"/>
      <c r="G103" s="79"/>
    </row>
    <row r="104" spans="1:8" s="94" customFormat="1" ht="20.100000000000001" customHeight="1">
      <c r="A104" s="87" t="s">
        <v>944</v>
      </c>
      <c r="B104" s="96" t="s">
        <v>911</v>
      </c>
      <c r="C104" s="89"/>
      <c r="D104" s="90"/>
      <c r="E104" s="91"/>
      <c r="F104" s="96"/>
      <c r="G104" s="92"/>
      <c r="H104" s="93"/>
    </row>
    <row r="105" spans="1:8" ht="20.100000000000001" customHeight="1">
      <c r="A105" s="43" t="s">
        <v>945</v>
      </c>
      <c r="B105" s="44">
        <v>21089</v>
      </c>
      <c r="C105" s="30" t="s">
        <v>946</v>
      </c>
      <c r="D105" s="45"/>
      <c r="F105" s="30"/>
      <c r="G105" s="33"/>
    </row>
    <row r="106" spans="1:8" ht="20.100000000000001" customHeight="1">
      <c r="A106" s="46" t="s">
        <v>947</v>
      </c>
      <c r="B106" s="47" t="s">
        <v>948</v>
      </c>
      <c r="C106" s="47" t="s">
        <v>949</v>
      </c>
      <c r="D106" s="48" t="s">
        <v>950</v>
      </c>
      <c r="E106" s="49" t="s">
        <v>927</v>
      </c>
      <c r="F106" s="47" t="s">
        <v>951</v>
      </c>
      <c r="G106" s="50" t="s">
        <v>952</v>
      </c>
    </row>
    <row r="107" spans="1:8" ht="20.100000000000001" customHeight="1">
      <c r="A107" s="52" t="s">
        <v>819</v>
      </c>
      <c r="B107" s="47" t="s">
        <v>953</v>
      </c>
      <c r="C107" s="53">
        <v>8</v>
      </c>
      <c r="D107" s="47" t="s">
        <v>987</v>
      </c>
      <c r="E107" s="54">
        <f>$C$10</f>
        <v>1085</v>
      </c>
      <c r="F107" s="55">
        <f>TRUNC(C107*E107,2)</f>
        <v>8680</v>
      </c>
      <c r="G107" s="56"/>
    </row>
    <row r="108" spans="1:8" ht="20.100000000000001" customHeight="1">
      <c r="A108" s="43"/>
      <c r="B108" s="48" t="s">
        <v>954</v>
      </c>
      <c r="C108" s="57">
        <v>38</v>
      </c>
      <c r="D108" s="47" t="s">
        <v>955</v>
      </c>
      <c r="E108" s="58"/>
      <c r="F108" s="59">
        <f>TRUNC(F107*C108%,2)</f>
        <v>3298.4</v>
      </c>
      <c r="G108" s="56"/>
    </row>
    <row r="109" spans="1:8" ht="20.100000000000001" customHeight="1">
      <c r="A109" s="43"/>
      <c r="B109" s="47" t="s">
        <v>956</v>
      </c>
      <c r="C109" s="57"/>
      <c r="D109" s="48"/>
      <c r="E109" s="58"/>
      <c r="F109" s="99">
        <f>TRUNC(SUM(F107:F108),0)</f>
        <v>11978</v>
      </c>
      <c r="G109" s="60"/>
    </row>
    <row r="110" spans="1:8" ht="20.100000000000001" customHeight="1">
      <c r="A110" s="52" t="s">
        <v>818</v>
      </c>
      <c r="B110" s="47" t="s">
        <v>957</v>
      </c>
      <c r="C110" s="53">
        <v>1</v>
      </c>
      <c r="D110" s="47" t="s">
        <v>820</v>
      </c>
      <c r="E110" s="54">
        <f>F14</f>
        <v>17696.2</v>
      </c>
      <c r="F110" s="55">
        <f>TRUNC(C110*E110,2)</f>
        <v>17696.2</v>
      </c>
      <c r="G110" s="60" t="s">
        <v>1035</v>
      </c>
    </row>
    <row r="111" spans="1:8" ht="20.100000000000001" customHeight="1">
      <c r="A111" s="43"/>
      <c r="B111" s="48" t="s">
        <v>956</v>
      </c>
      <c r="C111" s="57"/>
      <c r="D111" s="47"/>
      <c r="E111" s="54"/>
      <c r="F111" s="98">
        <f>TRUNC(SUM(F110:F110),0)</f>
        <v>17696</v>
      </c>
      <c r="G111" s="56"/>
    </row>
    <row r="112" spans="1:8" ht="20.100000000000001" customHeight="1">
      <c r="A112" s="52" t="s">
        <v>958</v>
      </c>
      <c r="B112" s="47" t="s">
        <v>959</v>
      </c>
      <c r="C112" s="57">
        <v>0.29010000000000002</v>
      </c>
      <c r="D112" s="47"/>
      <c r="E112" s="54">
        <f>B105</f>
        <v>21089</v>
      </c>
      <c r="F112" s="55">
        <f>TRUNC(C112*E112,2)</f>
        <v>6117.91</v>
      </c>
      <c r="G112" s="56"/>
    </row>
    <row r="113" spans="1:8" ht="20.100000000000001" customHeight="1">
      <c r="A113" s="43"/>
      <c r="B113" s="48" t="s">
        <v>956</v>
      </c>
      <c r="C113" s="57"/>
      <c r="D113" s="47"/>
      <c r="E113" s="54"/>
      <c r="F113" s="98">
        <f>TRUNC(SUM(F112:F112),0)</f>
        <v>6117</v>
      </c>
      <c r="G113" s="56"/>
    </row>
    <row r="114" spans="1:8" ht="20.100000000000001" customHeight="1">
      <c r="A114" s="52"/>
      <c r="B114" s="47"/>
      <c r="C114" s="61"/>
      <c r="D114" s="47"/>
      <c r="E114" s="62"/>
      <c r="F114" s="55"/>
      <c r="G114" s="56"/>
    </row>
    <row r="115" spans="1:8" ht="20.100000000000001" customHeight="1">
      <c r="A115" s="43"/>
      <c r="B115" s="63"/>
      <c r="C115" s="64"/>
      <c r="D115" s="63"/>
      <c r="E115" s="65"/>
      <c r="F115" s="66"/>
      <c r="G115" s="67"/>
    </row>
    <row r="116" spans="1:8" ht="20.100000000000001" customHeight="1">
      <c r="A116" s="43"/>
      <c r="B116" s="68"/>
      <c r="C116" s="69"/>
      <c r="D116" s="63"/>
      <c r="E116" s="70"/>
      <c r="F116" s="66"/>
      <c r="G116" s="67"/>
    </row>
    <row r="117" spans="1:8" ht="20.100000000000001" customHeight="1">
      <c r="A117" s="43"/>
      <c r="B117" s="63"/>
      <c r="C117" s="69"/>
      <c r="D117" s="63"/>
      <c r="E117" s="70"/>
      <c r="F117" s="66"/>
      <c r="G117" s="67"/>
    </row>
    <row r="118" spans="1:8" ht="20.100000000000001" customHeight="1">
      <c r="A118" s="71" t="s">
        <v>960</v>
      </c>
      <c r="B118" s="72"/>
      <c r="C118" s="73"/>
      <c r="D118" s="74"/>
      <c r="E118" s="75"/>
      <c r="F118" s="100">
        <f>F109+F111+F113</f>
        <v>35791</v>
      </c>
      <c r="G118" s="76"/>
    </row>
    <row r="119" spans="1:8" ht="20.100000000000001" customHeight="1"/>
    <row r="120" spans="1:8" s="30" customFormat="1" ht="20.100000000000001" customHeight="1">
      <c r="H120" s="19"/>
    </row>
    <row r="121" spans="1:8" s="95" customFormat="1" ht="20.100000000000001" customHeight="1">
      <c r="A121" s="87" t="s">
        <v>944</v>
      </c>
      <c r="B121" s="88" t="s">
        <v>1085</v>
      </c>
      <c r="C121" s="89"/>
      <c r="D121" s="90"/>
      <c r="E121" s="91"/>
      <c r="F121" s="96"/>
      <c r="G121" s="92"/>
      <c r="H121" s="93"/>
    </row>
    <row r="122" spans="1:8" s="30" customFormat="1" ht="20.100000000000001" customHeight="1">
      <c r="A122" s="43" t="s">
        <v>945</v>
      </c>
      <c r="B122" s="44">
        <f>INT(D122*C6/1000)</f>
        <v>38056</v>
      </c>
      <c r="C122" s="80" t="s">
        <v>961</v>
      </c>
      <c r="D122" s="1936">
        <v>30264</v>
      </c>
      <c r="E122" s="1936"/>
      <c r="G122" s="33"/>
      <c r="H122" s="19"/>
    </row>
    <row r="123" spans="1:8" s="30" customFormat="1" ht="20.100000000000001" customHeight="1">
      <c r="A123" s="46" t="s">
        <v>947</v>
      </c>
      <c r="B123" s="47" t="s">
        <v>948</v>
      </c>
      <c r="C123" s="47" t="s">
        <v>949</v>
      </c>
      <c r="D123" s="48" t="s">
        <v>950</v>
      </c>
      <c r="E123" s="49" t="s">
        <v>927</v>
      </c>
      <c r="F123" s="47" t="s">
        <v>951</v>
      </c>
      <c r="G123" s="50" t="s">
        <v>952</v>
      </c>
      <c r="H123" s="19"/>
    </row>
    <row r="124" spans="1:8" s="30" customFormat="1" ht="20.100000000000001" customHeight="1">
      <c r="A124" s="52" t="s">
        <v>819</v>
      </c>
      <c r="B124" s="47" t="s">
        <v>953</v>
      </c>
      <c r="C124" s="53">
        <v>8.9</v>
      </c>
      <c r="D124" s="47" t="s">
        <v>987</v>
      </c>
      <c r="E124" s="54">
        <f>C10</f>
        <v>1085</v>
      </c>
      <c r="F124" s="55">
        <f>TRUNC(C124*E124,2)</f>
        <v>9656.5</v>
      </c>
      <c r="G124" s="56"/>
      <c r="H124" s="19"/>
    </row>
    <row r="125" spans="1:8" s="30" customFormat="1" ht="20.100000000000001" customHeight="1">
      <c r="A125" s="43"/>
      <c r="B125" s="48" t="s">
        <v>954</v>
      </c>
      <c r="C125" s="57">
        <v>25</v>
      </c>
      <c r="D125" s="47" t="s">
        <v>955</v>
      </c>
      <c r="E125" s="58"/>
      <c r="F125" s="59">
        <f>TRUNC(F124*C125%,2)</f>
        <v>2414.12</v>
      </c>
      <c r="G125" s="56"/>
      <c r="H125" s="19"/>
    </row>
    <row r="126" spans="1:8" s="30" customFormat="1" ht="20.100000000000001" customHeight="1">
      <c r="A126" s="43"/>
      <c r="B126" s="47" t="s">
        <v>956</v>
      </c>
      <c r="C126" s="57"/>
      <c r="D126" s="48"/>
      <c r="E126" s="58"/>
      <c r="F126" s="99">
        <f>TRUNC(SUM(F124:F125),0)</f>
        <v>12070</v>
      </c>
      <c r="G126" s="60"/>
      <c r="H126" s="19"/>
    </row>
    <row r="127" spans="1:8" s="30" customFormat="1" ht="20.100000000000001" customHeight="1">
      <c r="A127" s="52" t="s">
        <v>818</v>
      </c>
      <c r="B127" s="47" t="s">
        <v>957</v>
      </c>
      <c r="C127" s="53">
        <v>1</v>
      </c>
      <c r="D127" s="47" t="s">
        <v>820</v>
      </c>
      <c r="E127" s="54">
        <f>$F$14</f>
        <v>17696.2</v>
      </c>
      <c r="F127" s="55">
        <f>TRUNC(C127*E127,2)</f>
        <v>17696.2</v>
      </c>
      <c r="G127" s="60" t="s">
        <v>1035</v>
      </c>
      <c r="H127" s="19"/>
    </row>
    <row r="128" spans="1:8" s="30" customFormat="1" ht="20.100000000000001" customHeight="1">
      <c r="A128" s="43"/>
      <c r="B128" s="48" t="s">
        <v>956</v>
      </c>
      <c r="C128" s="57"/>
      <c r="D128" s="47"/>
      <c r="E128" s="54"/>
      <c r="F128" s="99">
        <f>TRUNC(SUM(F127:F127),0)</f>
        <v>17696</v>
      </c>
      <c r="G128" s="56"/>
      <c r="H128" s="19"/>
    </row>
    <row r="129" spans="1:8" s="30" customFormat="1" ht="20.100000000000001" customHeight="1">
      <c r="A129" s="52" t="s">
        <v>958</v>
      </c>
      <c r="B129" s="47" t="s">
        <v>959</v>
      </c>
      <c r="C129" s="57">
        <v>0.24740000000000001</v>
      </c>
      <c r="D129" s="47"/>
      <c r="E129" s="54">
        <f>B122</f>
        <v>38056</v>
      </c>
      <c r="F129" s="55">
        <f>TRUNC(C129*E129,2)</f>
        <v>9415.0499999999993</v>
      </c>
      <c r="G129" s="56"/>
      <c r="H129" s="19"/>
    </row>
    <row r="130" spans="1:8" s="30" customFormat="1" ht="20.100000000000001" customHeight="1">
      <c r="A130" s="43"/>
      <c r="B130" s="48" t="s">
        <v>956</v>
      </c>
      <c r="C130" s="57"/>
      <c r="D130" s="47"/>
      <c r="E130" s="54"/>
      <c r="F130" s="98">
        <f>TRUNC(SUM(F129:F129),0)</f>
        <v>9415</v>
      </c>
      <c r="G130" s="56"/>
      <c r="H130" s="19"/>
    </row>
    <row r="131" spans="1:8" s="30" customFormat="1" ht="20.100000000000001" customHeight="1">
      <c r="A131" s="52"/>
      <c r="B131" s="47"/>
      <c r="C131" s="61"/>
      <c r="D131" s="47"/>
      <c r="E131" s="62"/>
      <c r="F131" s="55"/>
      <c r="G131" s="56"/>
      <c r="H131" s="19"/>
    </row>
    <row r="132" spans="1:8" s="30" customFormat="1" ht="20.100000000000001" customHeight="1">
      <c r="A132" s="43"/>
      <c r="B132" s="63"/>
      <c r="C132" s="69"/>
      <c r="D132" s="63"/>
      <c r="E132" s="70"/>
      <c r="F132" s="66"/>
      <c r="G132" s="67"/>
      <c r="H132" s="19"/>
    </row>
    <row r="133" spans="1:8" s="30" customFormat="1" ht="20.100000000000001" customHeight="1">
      <c r="A133" s="71" t="s">
        <v>960</v>
      </c>
      <c r="B133" s="72"/>
      <c r="C133" s="73"/>
      <c r="D133" s="74"/>
      <c r="E133" s="75"/>
      <c r="F133" s="100">
        <f>F126+F128+F130</f>
        <v>39181</v>
      </c>
      <c r="G133" s="76"/>
      <c r="H133" s="19"/>
    </row>
    <row r="134" spans="1:8" s="30" customFormat="1" ht="20.100000000000001" customHeight="1">
      <c r="H134" s="19"/>
    </row>
    <row r="135" spans="1:8" ht="20.100000000000001" customHeight="1">
      <c r="A135" s="206"/>
      <c r="B135" s="77"/>
      <c r="C135" s="78"/>
      <c r="D135" s="45"/>
      <c r="F135" s="81"/>
      <c r="G135" s="79"/>
    </row>
    <row r="136" spans="1:8" s="94" customFormat="1" ht="20.100000000000001" customHeight="1">
      <c r="A136" s="87" t="s">
        <v>944</v>
      </c>
      <c r="B136" s="96" t="s">
        <v>1102</v>
      </c>
      <c r="C136" s="89"/>
      <c r="D136" s="90"/>
      <c r="E136" s="91"/>
      <c r="F136" s="96"/>
      <c r="G136" s="92"/>
      <c r="H136" s="93"/>
    </row>
    <row r="137" spans="1:8" ht="20.100000000000001" customHeight="1">
      <c r="A137" s="43" t="s">
        <v>945</v>
      </c>
      <c r="B137" s="44">
        <v>202</v>
      </c>
      <c r="C137" s="30" t="s">
        <v>946</v>
      </c>
      <c r="D137" s="45"/>
      <c r="F137" s="30"/>
      <c r="G137" s="33"/>
    </row>
    <row r="138" spans="1:8" ht="20.100000000000001" customHeight="1">
      <c r="A138" s="46" t="s">
        <v>947</v>
      </c>
      <c r="B138" s="47" t="s">
        <v>948</v>
      </c>
      <c r="C138" s="47" t="s">
        <v>949</v>
      </c>
      <c r="D138" s="48" t="s">
        <v>950</v>
      </c>
      <c r="E138" s="49" t="s">
        <v>927</v>
      </c>
      <c r="F138" s="47" t="s">
        <v>951</v>
      </c>
      <c r="G138" s="50" t="s">
        <v>952</v>
      </c>
    </row>
    <row r="139" spans="1:8" ht="20.100000000000001" customHeight="1">
      <c r="A139" s="52" t="s">
        <v>819</v>
      </c>
      <c r="B139" s="47" t="s">
        <v>953</v>
      </c>
      <c r="C139" s="53"/>
      <c r="D139" s="47" t="s">
        <v>987</v>
      </c>
      <c r="E139" s="54">
        <f>$C$10</f>
        <v>1085</v>
      </c>
      <c r="F139" s="55">
        <f>TRUNC(C139*E139,2)</f>
        <v>0</v>
      </c>
      <c r="G139" s="56"/>
    </row>
    <row r="140" spans="1:8" ht="20.100000000000001" customHeight="1">
      <c r="A140" s="43"/>
      <c r="B140" s="48" t="s">
        <v>954</v>
      </c>
      <c r="C140" s="57"/>
      <c r="D140" s="47" t="s">
        <v>955</v>
      </c>
      <c r="E140" s="58"/>
      <c r="F140" s="59">
        <f>TRUNC(F139*C140%,2)</f>
        <v>0</v>
      </c>
      <c r="G140" s="56"/>
    </row>
    <row r="141" spans="1:8" ht="20.100000000000001" customHeight="1">
      <c r="A141" s="43"/>
      <c r="B141" s="47" t="s">
        <v>956</v>
      </c>
      <c r="C141" s="57"/>
      <c r="D141" s="48"/>
      <c r="E141" s="58"/>
      <c r="F141" s="99">
        <f>TRUNC(SUM(F139:F140),0)</f>
        <v>0</v>
      </c>
      <c r="G141" s="60"/>
    </row>
    <row r="142" spans="1:8" ht="20.100000000000001" customHeight="1">
      <c r="A142" s="52" t="s">
        <v>818</v>
      </c>
      <c r="B142" s="47" t="s">
        <v>957</v>
      </c>
      <c r="C142" s="53"/>
      <c r="D142" s="47" t="s">
        <v>820</v>
      </c>
      <c r="E142" s="54"/>
      <c r="F142" s="55">
        <f>TRUNC(C142*E142,2)</f>
        <v>0</v>
      </c>
      <c r="G142" s="60"/>
    </row>
    <row r="143" spans="1:8" ht="20.100000000000001" customHeight="1">
      <c r="A143" s="43"/>
      <c r="B143" s="48" t="s">
        <v>956</v>
      </c>
      <c r="C143" s="57"/>
      <c r="D143" s="47"/>
      <c r="E143" s="54"/>
      <c r="F143" s="98">
        <f>TRUNC(SUM(F142:F142),0)</f>
        <v>0</v>
      </c>
      <c r="G143" s="56"/>
    </row>
    <row r="144" spans="1:8" ht="20.100000000000001" customHeight="1">
      <c r="A144" s="52" t="s">
        <v>958</v>
      </c>
      <c r="B144" s="47" t="s">
        <v>959</v>
      </c>
      <c r="C144" s="57">
        <v>0.33750000000000002</v>
      </c>
      <c r="D144" s="47"/>
      <c r="E144" s="54">
        <f>B137</f>
        <v>202</v>
      </c>
      <c r="F144" s="55">
        <f>TRUNC(C144*E144,2)</f>
        <v>68.17</v>
      </c>
      <c r="G144" s="56"/>
    </row>
    <row r="145" spans="1:8" ht="20.100000000000001" customHeight="1">
      <c r="A145" s="43"/>
      <c r="B145" s="48" t="s">
        <v>956</v>
      </c>
      <c r="C145" s="57"/>
      <c r="D145" s="47"/>
      <c r="E145" s="54"/>
      <c r="F145" s="98">
        <f>TRUNC(SUM(F144:F144),0)</f>
        <v>68</v>
      </c>
      <c r="G145" s="56"/>
    </row>
    <row r="146" spans="1:8" ht="20.100000000000001" customHeight="1">
      <c r="A146" s="52"/>
      <c r="B146" s="47"/>
      <c r="C146" s="61"/>
      <c r="D146" s="47"/>
      <c r="E146" s="62"/>
      <c r="F146" s="55"/>
      <c r="G146" s="56"/>
    </row>
    <row r="147" spans="1:8" ht="20.100000000000001" customHeight="1">
      <c r="A147" s="43"/>
      <c r="B147" s="63"/>
      <c r="C147" s="64"/>
      <c r="D147" s="63"/>
      <c r="E147" s="65"/>
      <c r="F147" s="66"/>
      <c r="G147" s="67"/>
    </row>
    <row r="148" spans="1:8" ht="20.100000000000001" customHeight="1">
      <c r="A148" s="43"/>
      <c r="B148" s="68"/>
      <c r="C148" s="69"/>
      <c r="D148" s="63"/>
      <c r="E148" s="70"/>
      <c r="F148" s="66"/>
      <c r="G148" s="67"/>
    </row>
    <row r="149" spans="1:8" ht="20.100000000000001" customHeight="1">
      <c r="A149" s="43"/>
      <c r="B149" s="63"/>
      <c r="C149" s="69"/>
      <c r="D149" s="63"/>
      <c r="E149" s="70"/>
      <c r="F149" s="66"/>
      <c r="G149" s="67"/>
    </row>
    <row r="150" spans="1:8" ht="20.100000000000001" customHeight="1">
      <c r="A150" s="71" t="s">
        <v>960</v>
      </c>
      <c r="B150" s="72"/>
      <c r="C150" s="73"/>
      <c r="D150" s="74"/>
      <c r="E150" s="75"/>
      <c r="F150" s="100">
        <f>F141+F143+F145</f>
        <v>68</v>
      </c>
      <c r="G150" s="76"/>
    </row>
    <row r="151" spans="1:8" ht="20.100000000000001" customHeight="1"/>
    <row r="152" spans="1:8" s="30" customFormat="1" ht="20.100000000000001" customHeight="1">
      <c r="H152" s="19"/>
    </row>
    <row r="153" spans="1:8" s="95" customFormat="1" ht="20.100000000000001" customHeight="1">
      <c r="A153" s="87" t="s">
        <v>944</v>
      </c>
      <c r="B153" s="88" t="s">
        <v>1104</v>
      </c>
      <c r="C153" s="89"/>
      <c r="D153" s="90"/>
      <c r="E153" s="91"/>
      <c r="F153" s="96"/>
      <c r="G153" s="92"/>
      <c r="H153" s="93"/>
    </row>
    <row r="154" spans="1:8" s="30" customFormat="1" ht="20.100000000000001" customHeight="1">
      <c r="A154" s="43" t="s">
        <v>945</v>
      </c>
      <c r="B154" s="44">
        <f>INT(D154*C6/1000)</f>
        <v>194</v>
      </c>
      <c r="C154" s="30" t="s">
        <v>946</v>
      </c>
      <c r="D154" s="309">
        <v>155</v>
      </c>
      <c r="E154" s="23"/>
      <c r="G154" s="33"/>
      <c r="H154" s="19"/>
    </row>
    <row r="155" spans="1:8" s="30" customFormat="1" ht="20.100000000000001" customHeight="1">
      <c r="A155" s="46" t="s">
        <v>947</v>
      </c>
      <c r="B155" s="47" t="s">
        <v>948</v>
      </c>
      <c r="C155" s="47" t="s">
        <v>949</v>
      </c>
      <c r="D155" s="48" t="s">
        <v>950</v>
      </c>
      <c r="E155" s="49" t="s">
        <v>927</v>
      </c>
      <c r="F155" s="47" t="s">
        <v>951</v>
      </c>
      <c r="G155" s="50" t="s">
        <v>952</v>
      </c>
      <c r="H155" s="19"/>
    </row>
    <row r="156" spans="1:8" s="30" customFormat="1" ht="20.100000000000001" customHeight="1">
      <c r="A156" s="52" t="s">
        <v>819</v>
      </c>
      <c r="B156" s="47" t="s">
        <v>953</v>
      </c>
      <c r="C156" s="53">
        <v>0.5</v>
      </c>
      <c r="D156" s="47" t="s">
        <v>987</v>
      </c>
      <c r="E156" s="54">
        <f>C9</f>
        <v>1114</v>
      </c>
      <c r="F156" s="55">
        <f>TRUNC(C156*E156,2)</f>
        <v>557</v>
      </c>
      <c r="G156" s="56"/>
      <c r="H156" s="19"/>
    </row>
    <row r="157" spans="1:8" s="30" customFormat="1" ht="20.100000000000001" customHeight="1">
      <c r="A157" s="43"/>
      <c r="B157" s="48" t="s">
        <v>954</v>
      </c>
      <c r="C157" s="57">
        <v>20</v>
      </c>
      <c r="D157" s="47" t="s">
        <v>955</v>
      </c>
      <c r="E157" s="58"/>
      <c r="F157" s="59">
        <f>TRUNC(F156*C157%,2)</f>
        <v>111.4</v>
      </c>
      <c r="G157" s="56"/>
      <c r="H157" s="19"/>
    </row>
    <row r="158" spans="1:8" s="30" customFormat="1" ht="20.100000000000001" customHeight="1">
      <c r="A158" s="43"/>
      <c r="B158" s="47" t="s">
        <v>956</v>
      </c>
      <c r="C158" s="57"/>
      <c r="D158" s="48"/>
      <c r="E158" s="58"/>
      <c r="F158" s="99">
        <f>TRUNC(SUM(F156:F157),0)</f>
        <v>668</v>
      </c>
      <c r="G158" s="60"/>
      <c r="H158" s="19"/>
    </row>
    <row r="159" spans="1:8" s="30" customFormat="1" ht="20.100000000000001" customHeight="1">
      <c r="A159" s="52" t="s">
        <v>818</v>
      </c>
      <c r="B159" s="47" t="s">
        <v>957</v>
      </c>
      <c r="C159" s="53">
        <v>0</v>
      </c>
      <c r="D159" s="47" t="s">
        <v>820</v>
      </c>
      <c r="E159" s="54"/>
      <c r="F159" s="55">
        <f>TRUNC(C159*E159,2)</f>
        <v>0</v>
      </c>
      <c r="G159" s="60"/>
      <c r="H159" s="19"/>
    </row>
    <row r="160" spans="1:8" s="30" customFormat="1" ht="20.100000000000001" customHeight="1">
      <c r="A160" s="43"/>
      <c r="B160" s="48" t="s">
        <v>956</v>
      </c>
      <c r="C160" s="57"/>
      <c r="D160" s="47"/>
      <c r="E160" s="54"/>
      <c r="F160" s="99">
        <f>TRUNC(SUM(F159:F159),0)</f>
        <v>0</v>
      </c>
      <c r="G160" s="56"/>
      <c r="H160" s="19"/>
    </row>
    <row r="161" spans="1:8" s="30" customFormat="1" ht="20.100000000000001" customHeight="1">
      <c r="A161" s="52" t="s">
        <v>958</v>
      </c>
      <c r="B161" s="47" t="s">
        <v>959</v>
      </c>
      <c r="C161" s="57">
        <v>0.34320000000000001</v>
      </c>
      <c r="D161" s="47"/>
      <c r="E161" s="54">
        <f>B154</f>
        <v>194</v>
      </c>
      <c r="F161" s="55">
        <f>TRUNC(C161*E161,2)</f>
        <v>66.58</v>
      </c>
      <c r="G161" s="56"/>
      <c r="H161" s="19"/>
    </row>
    <row r="162" spans="1:8" s="30" customFormat="1" ht="20.100000000000001" customHeight="1">
      <c r="A162" s="43"/>
      <c r="B162" s="48" t="s">
        <v>956</v>
      </c>
      <c r="C162" s="57"/>
      <c r="D162" s="47"/>
      <c r="E162" s="54"/>
      <c r="F162" s="98">
        <f>TRUNC(SUM(F161:F161),0)</f>
        <v>66</v>
      </c>
      <c r="G162" s="56"/>
      <c r="H162" s="19"/>
    </row>
    <row r="163" spans="1:8" s="30" customFormat="1" ht="20.100000000000001" customHeight="1">
      <c r="A163" s="52"/>
      <c r="B163" s="47"/>
      <c r="C163" s="61"/>
      <c r="D163" s="47"/>
      <c r="E163" s="62"/>
      <c r="F163" s="55"/>
      <c r="G163" s="56"/>
      <c r="H163" s="19"/>
    </row>
    <row r="164" spans="1:8" s="30" customFormat="1" ht="20.100000000000001" customHeight="1">
      <c r="A164" s="43"/>
      <c r="B164" s="63"/>
      <c r="C164" s="69"/>
      <c r="D164" s="63"/>
      <c r="E164" s="70"/>
      <c r="F164" s="66"/>
      <c r="G164" s="67"/>
      <c r="H164" s="19"/>
    </row>
    <row r="165" spans="1:8" s="30" customFormat="1" ht="20.100000000000001" customHeight="1">
      <c r="A165" s="71" t="s">
        <v>960</v>
      </c>
      <c r="B165" s="72"/>
      <c r="C165" s="73"/>
      <c r="D165" s="74"/>
      <c r="E165" s="75"/>
      <c r="F165" s="100">
        <f>F158+F160+F162</f>
        <v>734</v>
      </c>
      <c r="G165" s="76"/>
      <c r="H165" s="19"/>
    </row>
    <row r="166" spans="1:8" s="30" customFormat="1" ht="20.100000000000001" customHeight="1">
      <c r="H166" s="19"/>
    </row>
    <row r="167" spans="1:8" ht="20.100000000000001" customHeight="1">
      <c r="A167" s="206"/>
      <c r="B167" s="77"/>
      <c r="C167" s="78"/>
      <c r="D167" s="45"/>
      <c r="F167" s="81"/>
      <c r="G167" s="79"/>
    </row>
    <row r="168" spans="1:8" s="94" customFormat="1" ht="20.100000000000001" customHeight="1">
      <c r="A168" s="87" t="s">
        <v>944</v>
      </c>
      <c r="B168" s="88" t="s">
        <v>1105</v>
      </c>
      <c r="C168" s="89"/>
      <c r="D168" s="90"/>
      <c r="E168" s="91"/>
      <c r="F168" s="96"/>
      <c r="G168" s="92"/>
      <c r="H168" s="93"/>
    </row>
    <row r="169" spans="1:8" ht="20.100000000000001" customHeight="1">
      <c r="A169" s="43" t="s">
        <v>945</v>
      </c>
      <c r="B169" s="44">
        <f>INT(D169*C6/1000)</f>
        <v>193</v>
      </c>
      <c r="C169" s="30" t="s">
        <v>946</v>
      </c>
      <c r="D169" s="309">
        <v>154</v>
      </c>
      <c r="F169" s="30"/>
      <c r="G169" s="33"/>
    </row>
    <row r="170" spans="1:8" ht="20.100000000000001" customHeight="1">
      <c r="A170" s="46" t="s">
        <v>947</v>
      </c>
      <c r="B170" s="47" t="s">
        <v>948</v>
      </c>
      <c r="C170" s="47" t="s">
        <v>949</v>
      </c>
      <c r="D170" s="48" t="s">
        <v>950</v>
      </c>
      <c r="E170" s="49" t="s">
        <v>927</v>
      </c>
      <c r="F170" s="47" t="s">
        <v>951</v>
      </c>
      <c r="G170" s="50" t="s">
        <v>952</v>
      </c>
    </row>
    <row r="171" spans="1:8" ht="20.100000000000001" customHeight="1">
      <c r="A171" s="52" t="s">
        <v>819</v>
      </c>
      <c r="B171" s="47" t="s">
        <v>953</v>
      </c>
      <c r="C171" s="53"/>
      <c r="D171" s="47" t="s">
        <v>987</v>
      </c>
      <c r="E171" s="54"/>
      <c r="F171" s="55">
        <f>TRUNC(C171*E171,2)</f>
        <v>0</v>
      </c>
      <c r="G171" s="56"/>
    </row>
    <row r="172" spans="1:8" ht="20.100000000000001" customHeight="1">
      <c r="A172" s="43"/>
      <c r="B172" s="48" t="s">
        <v>954</v>
      </c>
      <c r="C172" s="57"/>
      <c r="D172" s="47" t="s">
        <v>955</v>
      </c>
      <c r="E172" s="58"/>
      <c r="F172" s="59">
        <f>TRUNC(F171*C172%,2)</f>
        <v>0</v>
      </c>
      <c r="G172" s="56"/>
    </row>
    <row r="173" spans="1:8" ht="20.100000000000001" customHeight="1">
      <c r="A173" s="43"/>
      <c r="B173" s="47" t="s">
        <v>956</v>
      </c>
      <c r="C173" s="57"/>
      <c r="D173" s="48"/>
      <c r="E173" s="58"/>
      <c r="F173" s="99">
        <f>TRUNC(SUM(F171:F172),0)</f>
        <v>0</v>
      </c>
      <c r="G173" s="60"/>
    </row>
    <row r="174" spans="1:8" ht="20.100000000000001" customHeight="1">
      <c r="A174" s="52" t="s">
        <v>818</v>
      </c>
      <c r="B174" s="47" t="s">
        <v>957</v>
      </c>
      <c r="C174" s="53"/>
      <c r="D174" s="47" t="s">
        <v>820</v>
      </c>
      <c r="E174" s="54"/>
      <c r="F174" s="55">
        <f>TRUNC(C174*E174,2)</f>
        <v>0</v>
      </c>
      <c r="G174" s="60"/>
    </row>
    <row r="175" spans="1:8" ht="20.100000000000001" customHeight="1">
      <c r="A175" s="43"/>
      <c r="B175" s="48" t="s">
        <v>956</v>
      </c>
      <c r="C175" s="57"/>
      <c r="D175" s="47"/>
      <c r="E175" s="54"/>
      <c r="F175" s="98">
        <f>TRUNC(SUM(F174:F174),0)</f>
        <v>0</v>
      </c>
      <c r="G175" s="56"/>
    </row>
    <row r="176" spans="1:8" ht="20.100000000000001" customHeight="1">
      <c r="A176" s="52" t="s">
        <v>958</v>
      </c>
      <c r="B176" s="47" t="s">
        <v>959</v>
      </c>
      <c r="C176" s="57">
        <v>0.18479999999999999</v>
      </c>
      <c r="D176" s="47"/>
      <c r="E176" s="54">
        <f>B169</f>
        <v>193</v>
      </c>
      <c r="F176" s="55">
        <f>TRUNC(C176*E176,2)</f>
        <v>35.659999999999997</v>
      </c>
      <c r="G176" s="56"/>
    </row>
    <row r="177" spans="1:8" ht="20.100000000000001" customHeight="1">
      <c r="A177" s="43"/>
      <c r="B177" s="48" t="s">
        <v>956</v>
      </c>
      <c r="C177" s="57"/>
      <c r="D177" s="47"/>
      <c r="E177" s="54"/>
      <c r="F177" s="98">
        <f>TRUNC(SUM(F176:F176),0)</f>
        <v>35</v>
      </c>
      <c r="G177" s="56"/>
    </row>
    <row r="178" spans="1:8" ht="20.100000000000001" customHeight="1">
      <c r="A178" s="52"/>
      <c r="B178" s="47"/>
      <c r="C178" s="61"/>
      <c r="D178" s="47"/>
      <c r="E178" s="62"/>
      <c r="F178" s="55"/>
      <c r="G178" s="56"/>
    </row>
    <row r="179" spans="1:8" ht="20.100000000000001" customHeight="1">
      <c r="A179" s="43"/>
      <c r="B179" s="63"/>
      <c r="C179" s="64"/>
      <c r="D179" s="63"/>
      <c r="E179" s="65"/>
      <c r="F179" s="66"/>
      <c r="G179" s="67"/>
    </row>
    <row r="180" spans="1:8" ht="20.100000000000001" customHeight="1">
      <c r="A180" s="43"/>
      <c r="B180" s="68"/>
      <c r="C180" s="69"/>
      <c r="D180" s="63"/>
      <c r="E180" s="70"/>
      <c r="F180" s="66"/>
      <c r="G180" s="67"/>
    </row>
    <row r="181" spans="1:8" ht="20.100000000000001" customHeight="1">
      <c r="A181" s="43"/>
      <c r="B181" s="63"/>
      <c r="C181" s="69"/>
      <c r="D181" s="63"/>
      <c r="E181" s="70"/>
      <c r="F181" s="66"/>
      <c r="G181" s="67"/>
    </row>
    <row r="182" spans="1:8" ht="20.100000000000001" customHeight="1">
      <c r="A182" s="71" t="s">
        <v>960</v>
      </c>
      <c r="B182" s="72"/>
      <c r="C182" s="73"/>
      <c r="D182" s="74"/>
      <c r="E182" s="75"/>
      <c r="F182" s="100">
        <f>F173+F175+F177</f>
        <v>35</v>
      </c>
      <c r="G182" s="76"/>
    </row>
    <row r="183" spans="1:8" ht="20.100000000000001" customHeight="1"/>
    <row r="184" spans="1:8" s="30" customFormat="1" ht="20.100000000000001" customHeight="1">
      <c r="H184" s="19"/>
    </row>
    <row r="185" spans="1:8" s="95" customFormat="1" ht="20.100000000000001" customHeight="1">
      <c r="A185" s="87" t="s">
        <v>944</v>
      </c>
      <c r="B185" s="88" t="s">
        <v>1109</v>
      </c>
      <c r="C185" s="89"/>
      <c r="D185" s="90"/>
      <c r="E185" s="91"/>
      <c r="F185" s="96"/>
      <c r="G185" s="92"/>
      <c r="H185" s="93"/>
    </row>
    <row r="186" spans="1:8" s="30" customFormat="1" ht="20.100000000000001" customHeight="1">
      <c r="A186" s="43" t="s">
        <v>945</v>
      </c>
      <c r="B186" s="44">
        <v>19299</v>
      </c>
      <c r="C186" s="30" t="s">
        <v>946</v>
      </c>
      <c r="D186" s="309"/>
      <c r="E186" s="23"/>
      <c r="G186" s="33"/>
      <c r="H186" s="19"/>
    </row>
    <row r="187" spans="1:8" s="30" customFormat="1" ht="20.100000000000001" customHeight="1">
      <c r="A187" s="46" t="s">
        <v>947</v>
      </c>
      <c r="B187" s="47" t="s">
        <v>948</v>
      </c>
      <c r="C187" s="47" t="s">
        <v>949</v>
      </c>
      <c r="D187" s="48" t="s">
        <v>950</v>
      </c>
      <c r="E187" s="49" t="s">
        <v>927</v>
      </c>
      <c r="F187" s="47" t="s">
        <v>951</v>
      </c>
      <c r="G187" s="50" t="s">
        <v>952</v>
      </c>
      <c r="H187" s="19"/>
    </row>
    <row r="188" spans="1:8" s="30" customFormat="1" ht="20.100000000000001" customHeight="1">
      <c r="A188" s="52" t="s">
        <v>819</v>
      </c>
      <c r="B188" s="47" t="s">
        <v>953</v>
      </c>
      <c r="C188" s="53">
        <v>6.7</v>
      </c>
      <c r="D188" s="47" t="s">
        <v>987</v>
      </c>
      <c r="E188" s="54">
        <f>C10</f>
        <v>1085</v>
      </c>
      <c r="F188" s="55">
        <f>TRUNC(C188*E188,2)</f>
        <v>7269.5</v>
      </c>
      <c r="G188" s="56"/>
      <c r="H188" s="19"/>
    </row>
    <row r="189" spans="1:8" s="30" customFormat="1" ht="20.100000000000001" customHeight="1">
      <c r="A189" s="43"/>
      <c r="B189" s="48" t="s">
        <v>954</v>
      </c>
      <c r="C189" s="57">
        <v>44</v>
      </c>
      <c r="D189" s="47" t="s">
        <v>955</v>
      </c>
      <c r="E189" s="58"/>
      <c r="F189" s="59">
        <f>TRUNC(F188*C189%,2)</f>
        <v>3198.58</v>
      </c>
      <c r="G189" s="56"/>
      <c r="H189" s="19"/>
    </row>
    <row r="190" spans="1:8" s="30" customFormat="1" ht="20.100000000000001" customHeight="1">
      <c r="A190" s="43"/>
      <c r="B190" s="47" t="s">
        <v>956</v>
      </c>
      <c r="C190" s="57"/>
      <c r="D190" s="48"/>
      <c r="E190" s="58"/>
      <c r="F190" s="99">
        <f>TRUNC(SUM(F188:F189),0)</f>
        <v>10468</v>
      </c>
      <c r="G190" s="60"/>
      <c r="H190" s="19"/>
    </row>
    <row r="191" spans="1:8" s="30" customFormat="1" ht="20.100000000000001" customHeight="1">
      <c r="A191" s="52" t="s">
        <v>818</v>
      </c>
      <c r="B191" s="47" t="s">
        <v>957</v>
      </c>
      <c r="C191" s="53">
        <v>1</v>
      </c>
      <c r="D191" s="47" t="s">
        <v>820</v>
      </c>
      <c r="E191" s="54">
        <f>F14</f>
        <v>17696.2</v>
      </c>
      <c r="F191" s="55">
        <f>TRUNC(C191*E191,2)</f>
        <v>17696.2</v>
      </c>
      <c r="G191" s="60"/>
      <c r="H191" s="19"/>
    </row>
    <row r="192" spans="1:8" s="30" customFormat="1" ht="20.100000000000001" customHeight="1">
      <c r="A192" s="43"/>
      <c r="B192" s="48" t="s">
        <v>956</v>
      </c>
      <c r="C192" s="57"/>
      <c r="D192" s="47"/>
      <c r="E192" s="54"/>
      <c r="F192" s="99">
        <f>TRUNC(SUM(F191:F191),0)</f>
        <v>17696</v>
      </c>
      <c r="G192" s="56"/>
      <c r="H192" s="19"/>
    </row>
    <row r="193" spans="1:8" s="30" customFormat="1" ht="20.100000000000001" customHeight="1">
      <c r="A193" s="52" t="s">
        <v>958</v>
      </c>
      <c r="B193" s="47" t="s">
        <v>959</v>
      </c>
      <c r="C193" s="57">
        <v>0.35899999999999999</v>
      </c>
      <c r="D193" s="47"/>
      <c r="E193" s="54">
        <f>B186</f>
        <v>19299</v>
      </c>
      <c r="F193" s="55">
        <f>TRUNC(C193*E193,2)</f>
        <v>6928.34</v>
      </c>
      <c r="G193" s="56"/>
      <c r="H193" s="19"/>
    </row>
    <row r="194" spans="1:8" s="30" customFormat="1" ht="20.100000000000001" customHeight="1">
      <c r="A194" s="43"/>
      <c r="B194" s="48" t="s">
        <v>956</v>
      </c>
      <c r="C194" s="57"/>
      <c r="D194" s="47"/>
      <c r="E194" s="54"/>
      <c r="F194" s="98">
        <f>TRUNC(SUM(F193:F193),0)</f>
        <v>6928</v>
      </c>
      <c r="G194" s="56"/>
      <c r="H194" s="19"/>
    </row>
    <row r="195" spans="1:8" s="30" customFormat="1" ht="20.100000000000001" customHeight="1">
      <c r="A195" s="52"/>
      <c r="B195" s="47"/>
      <c r="C195" s="61"/>
      <c r="D195" s="47"/>
      <c r="E195" s="62"/>
      <c r="F195" s="55"/>
      <c r="G195" s="56"/>
      <c r="H195" s="19"/>
    </row>
    <row r="196" spans="1:8" s="30" customFormat="1" ht="20.100000000000001" customHeight="1">
      <c r="A196" s="43"/>
      <c r="B196" s="63"/>
      <c r="C196" s="69"/>
      <c r="D196" s="63"/>
      <c r="E196" s="70"/>
      <c r="F196" s="66"/>
      <c r="G196" s="67"/>
      <c r="H196" s="19"/>
    </row>
    <row r="197" spans="1:8" s="30" customFormat="1" ht="20.100000000000001" customHeight="1">
      <c r="A197" s="71" t="s">
        <v>960</v>
      </c>
      <c r="B197" s="72"/>
      <c r="C197" s="73"/>
      <c r="D197" s="74"/>
      <c r="E197" s="75"/>
      <c r="F197" s="100">
        <f>F190+F192+F194</f>
        <v>35092</v>
      </c>
      <c r="G197" s="76"/>
      <c r="H197" s="19"/>
    </row>
    <row r="198" spans="1:8" s="30" customFormat="1" ht="20.100000000000001" customHeight="1">
      <c r="H198" s="19"/>
    </row>
    <row r="199" spans="1:8" ht="20.100000000000001" customHeight="1">
      <c r="A199" s="206"/>
      <c r="B199" s="77"/>
      <c r="C199" s="78"/>
      <c r="D199" s="45"/>
      <c r="F199" s="81"/>
      <c r="G199" s="79"/>
    </row>
    <row r="200" spans="1:8" s="94" customFormat="1" ht="20.100000000000001" customHeight="1">
      <c r="A200" s="87" t="s">
        <v>944</v>
      </c>
      <c r="B200" s="88" t="s">
        <v>1238</v>
      </c>
      <c r="C200" s="89"/>
      <c r="D200" s="90"/>
      <c r="E200" s="91"/>
      <c r="F200" s="96"/>
      <c r="G200" s="92"/>
      <c r="H200" s="93"/>
    </row>
    <row r="201" spans="1:8" ht="20.100000000000001" customHeight="1">
      <c r="A201" s="43" t="s">
        <v>945</v>
      </c>
      <c r="B201" s="44">
        <v>393000</v>
      </c>
      <c r="C201" s="30" t="s">
        <v>946</v>
      </c>
      <c r="D201" s="309"/>
      <c r="F201" s="30"/>
      <c r="G201" s="33"/>
    </row>
    <row r="202" spans="1:8" ht="20.100000000000001" customHeight="1">
      <c r="A202" s="46" t="s">
        <v>947</v>
      </c>
      <c r="B202" s="47" t="s">
        <v>948</v>
      </c>
      <c r="C202" s="47" t="s">
        <v>949</v>
      </c>
      <c r="D202" s="48" t="s">
        <v>950</v>
      </c>
      <c r="E202" s="49" t="s">
        <v>927</v>
      </c>
      <c r="F202" s="47" t="s">
        <v>951</v>
      </c>
      <c r="G202" s="50" t="s">
        <v>952</v>
      </c>
    </row>
    <row r="203" spans="1:8" ht="20.100000000000001" customHeight="1">
      <c r="A203" s="52" t="s">
        <v>819</v>
      </c>
      <c r="B203" s="47" t="s">
        <v>953</v>
      </c>
      <c r="C203" s="53">
        <v>14.8</v>
      </c>
      <c r="D203" s="47" t="s">
        <v>987</v>
      </c>
      <c r="E203" s="54">
        <f ca="1">'8.0자재단가'!I7</f>
        <v>1085</v>
      </c>
      <c r="F203" s="55">
        <f>TRUNC(C203*E203,2)</f>
        <v>16058</v>
      </c>
      <c r="G203" s="56"/>
    </row>
    <row r="204" spans="1:8" ht="20.100000000000001" customHeight="1">
      <c r="A204" s="43"/>
      <c r="B204" s="48" t="s">
        <v>954</v>
      </c>
      <c r="C204" s="57">
        <v>20</v>
      </c>
      <c r="D204" s="47" t="s">
        <v>955</v>
      </c>
      <c r="E204" s="58"/>
      <c r="F204" s="59">
        <f>TRUNC(F203*C204%,2)</f>
        <v>3211.6</v>
      </c>
      <c r="G204" s="56"/>
    </row>
    <row r="205" spans="1:8" ht="20.100000000000001" customHeight="1">
      <c r="A205" s="43"/>
      <c r="B205" s="47" t="s">
        <v>956</v>
      </c>
      <c r="C205" s="57"/>
      <c r="D205" s="48"/>
      <c r="E205" s="58"/>
      <c r="F205" s="99">
        <f>TRUNC(SUM(F203:F204),0)</f>
        <v>19269</v>
      </c>
      <c r="G205" s="60"/>
    </row>
    <row r="206" spans="1:8" ht="20.100000000000001" customHeight="1">
      <c r="A206" s="52" t="s">
        <v>818</v>
      </c>
      <c r="B206" s="47" t="s">
        <v>957</v>
      </c>
      <c r="C206" s="53">
        <v>1</v>
      </c>
      <c r="D206" s="47" t="s">
        <v>820</v>
      </c>
      <c r="E206" s="54">
        <f>F13</f>
        <v>20561</v>
      </c>
      <c r="F206" s="55">
        <f>TRUNC(C206*E206,2)</f>
        <v>20561</v>
      </c>
      <c r="G206" s="60"/>
    </row>
    <row r="207" spans="1:8" ht="20.100000000000001" customHeight="1">
      <c r="A207" s="43"/>
      <c r="B207" s="47" t="s">
        <v>962</v>
      </c>
      <c r="C207" s="53">
        <v>1</v>
      </c>
      <c r="D207" s="47" t="s">
        <v>820</v>
      </c>
      <c r="E207" s="54">
        <f>F16</f>
        <v>11621.6</v>
      </c>
      <c r="F207" s="55">
        <f>TRUNC(C207*E207,2)</f>
        <v>11621.6</v>
      </c>
      <c r="G207" s="60"/>
    </row>
    <row r="208" spans="1:8" ht="20.100000000000001" customHeight="1">
      <c r="A208" s="43"/>
      <c r="B208" s="47" t="s">
        <v>1239</v>
      </c>
      <c r="C208" s="53">
        <v>0.2</v>
      </c>
      <c r="D208" s="47" t="s">
        <v>820</v>
      </c>
      <c r="E208" s="54">
        <f>F17</f>
        <v>19656.2</v>
      </c>
      <c r="F208" s="55">
        <f>TRUNC(C208*E208,2)</f>
        <v>3931.24</v>
      </c>
      <c r="G208" s="60"/>
    </row>
    <row r="209" spans="1:8" ht="20.100000000000001" customHeight="1">
      <c r="A209" s="43"/>
      <c r="B209" s="48" t="s">
        <v>956</v>
      </c>
      <c r="C209" s="57"/>
      <c r="D209" s="47"/>
      <c r="E209" s="54"/>
      <c r="F209" s="98">
        <f>TRUNC(SUM(F206:F208),0)</f>
        <v>36113</v>
      </c>
      <c r="G209" s="56"/>
    </row>
    <row r="210" spans="1:8" ht="20.100000000000001" customHeight="1">
      <c r="A210" s="52" t="s">
        <v>958</v>
      </c>
      <c r="B210" s="47" t="s">
        <v>959</v>
      </c>
      <c r="C210" s="57">
        <v>0.18790000000000001</v>
      </c>
      <c r="D210" s="47"/>
      <c r="E210" s="54">
        <f>B201</f>
        <v>393000</v>
      </c>
      <c r="F210" s="55">
        <f>TRUNC(C210*E210,2)</f>
        <v>73844.7</v>
      </c>
      <c r="G210" s="56"/>
    </row>
    <row r="211" spans="1:8" ht="20.100000000000001" customHeight="1">
      <c r="A211" s="43"/>
      <c r="B211" s="48" t="s">
        <v>956</v>
      </c>
      <c r="C211" s="57"/>
      <c r="D211" s="47"/>
      <c r="E211" s="54"/>
      <c r="F211" s="98">
        <f>TRUNC(SUM(F210:F210),0)</f>
        <v>73844</v>
      </c>
      <c r="G211" s="56"/>
    </row>
    <row r="212" spans="1:8" ht="20.100000000000001" customHeight="1">
      <c r="A212" s="43"/>
      <c r="B212" s="68"/>
      <c r="C212" s="69"/>
      <c r="D212" s="63"/>
      <c r="E212" s="70"/>
      <c r="F212" s="66"/>
      <c r="G212" s="67"/>
    </row>
    <row r="213" spans="1:8" ht="20.100000000000001" customHeight="1">
      <c r="A213" s="43"/>
      <c r="B213" s="63"/>
      <c r="C213" s="69"/>
      <c r="D213" s="63"/>
      <c r="E213" s="70"/>
      <c r="F213" s="66"/>
      <c r="G213" s="67"/>
    </row>
    <row r="214" spans="1:8" ht="20.100000000000001" customHeight="1">
      <c r="A214" s="71" t="s">
        <v>960</v>
      </c>
      <c r="B214" s="72"/>
      <c r="C214" s="73"/>
      <c r="D214" s="74"/>
      <c r="E214" s="75"/>
      <c r="F214" s="100">
        <f>F205+F209+F211</f>
        <v>129226</v>
      </c>
      <c r="G214" s="76"/>
    </row>
    <row r="215" spans="1:8" s="30" customFormat="1" ht="20.100000000000001" customHeight="1">
      <c r="H215" s="19"/>
    </row>
    <row r="216" spans="1:8" s="30" customFormat="1" ht="20.100000000000001" customHeight="1">
      <c r="H216" s="19"/>
    </row>
    <row r="217" spans="1:8" s="94" customFormat="1" ht="20.100000000000001" customHeight="1">
      <c r="A217" s="87" t="s">
        <v>944</v>
      </c>
      <c r="B217" s="88" t="s">
        <v>1240</v>
      </c>
      <c r="C217" s="89"/>
      <c r="D217" s="90"/>
      <c r="E217" s="91"/>
      <c r="F217" s="88"/>
      <c r="G217" s="92"/>
      <c r="H217" s="93"/>
    </row>
    <row r="218" spans="1:8" ht="20.100000000000001" customHeight="1">
      <c r="A218" s="43" t="s">
        <v>945</v>
      </c>
      <c r="B218" s="44">
        <f>INT(D218*C6/1000)</f>
        <v>3056</v>
      </c>
      <c r="C218" s="30" t="s">
        <v>946</v>
      </c>
      <c r="D218" s="384">
        <v>2431</v>
      </c>
      <c r="E218" s="385"/>
      <c r="F218" s="30"/>
      <c r="G218" s="33"/>
    </row>
    <row r="219" spans="1:8" ht="20.100000000000001" customHeight="1">
      <c r="A219" s="46" t="s">
        <v>947</v>
      </c>
      <c r="B219" s="47" t="s">
        <v>948</v>
      </c>
      <c r="C219" s="47" t="s">
        <v>949</v>
      </c>
      <c r="D219" s="48" t="s">
        <v>950</v>
      </c>
      <c r="E219" s="49" t="s">
        <v>927</v>
      </c>
      <c r="F219" s="47" t="s">
        <v>951</v>
      </c>
      <c r="G219" s="50" t="s">
        <v>952</v>
      </c>
    </row>
    <row r="220" spans="1:8" ht="20.100000000000001" customHeight="1">
      <c r="A220" s="52" t="s">
        <v>819</v>
      </c>
      <c r="B220" s="47" t="s">
        <v>953</v>
      </c>
      <c r="C220" s="53"/>
      <c r="D220" s="47" t="s">
        <v>987</v>
      </c>
      <c r="E220" s="54"/>
      <c r="F220" s="55">
        <f>TRUNC(C220*E220,2)</f>
        <v>0</v>
      </c>
      <c r="G220" s="56"/>
    </row>
    <row r="221" spans="1:8" ht="20.100000000000001" customHeight="1">
      <c r="A221" s="43"/>
      <c r="B221" s="48" t="s">
        <v>954</v>
      </c>
      <c r="C221" s="57"/>
      <c r="D221" s="47" t="s">
        <v>955</v>
      </c>
      <c r="E221" s="58"/>
      <c r="F221" s="59">
        <f>TRUNC(F220*C221%,2)</f>
        <v>0</v>
      </c>
      <c r="G221" s="56"/>
    </row>
    <row r="222" spans="1:8" ht="20.100000000000001" customHeight="1">
      <c r="A222" s="43"/>
      <c r="B222" s="47" t="s">
        <v>956</v>
      </c>
      <c r="C222" s="57"/>
      <c r="D222" s="48"/>
      <c r="E222" s="58"/>
      <c r="F222" s="59">
        <f>TRUNC(SUM(F220:F221),0)</f>
        <v>0</v>
      </c>
      <c r="G222" s="60"/>
    </row>
    <row r="223" spans="1:8" ht="20.100000000000001" customHeight="1">
      <c r="A223" s="52" t="s">
        <v>818</v>
      </c>
      <c r="B223" s="47" t="s">
        <v>957</v>
      </c>
      <c r="C223" s="53"/>
      <c r="D223" s="47" t="s">
        <v>820</v>
      </c>
      <c r="E223" s="54"/>
      <c r="F223" s="55">
        <f>TRUNC(C223*E223,2)</f>
        <v>0</v>
      </c>
      <c r="G223" s="60"/>
    </row>
    <row r="224" spans="1:8" ht="20.100000000000001" customHeight="1">
      <c r="A224" s="43"/>
      <c r="B224" s="47" t="s">
        <v>962</v>
      </c>
      <c r="C224" s="53"/>
      <c r="D224" s="47" t="s">
        <v>820</v>
      </c>
      <c r="E224" s="54"/>
      <c r="F224" s="55">
        <f>TRUNC(C224*E224,2)</f>
        <v>0</v>
      </c>
      <c r="G224" s="60"/>
    </row>
    <row r="225" spans="1:8" ht="20.100000000000001" customHeight="1">
      <c r="A225" s="43"/>
      <c r="B225" s="47" t="s">
        <v>973</v>
      </c>
      <c r="C225" s="53"/>
      <c r="D225" s="47" t="s">
        <v>820</v>
      </c>
      <c r="E225" s="54"/>
      <c r="F225" s="55">
        <f>TRUNC(C225*E225,2)</f>
        <v>0</v>
      </c>
      <c r="G225" s="60"/>
    </row>
    <row r="226" spans="1:8" ht="20.100000000000001" customHeight="1">
      <c r="A226" s="43"/>
      <c r="B226" s="48" t="s">
        <v>956</v>
      </c>
      <c r="C226" s="57"/>
      <c r="D226" s="47"/>
      <c r="E226" s="54"/>
      <c r="F226" s="55">
        <f>TRUNC(SUM(F223:F225),0)</f>
        <v>0</v>
      </c>
      <c r="G226" s="56"/>
    </row>
    <row r="227" spans="1:8" ht="20.100000000000001" customHeight="1">
      <c r="A227" s="52" t="s">
        <v>958</v>
      </c>
      <c r="B227" s="47" t="s">
        <v>959</v>
      </c>
      <c r="C227" s="57">
        <v>0.27779999999999999</v>
      </c>
      <c r="D227" s="47"/>
      <c r="E227" s="54">
        <f>B218</f>
        <v>3056</v>
      </c>
      <c r="F227" s="55">
        <f>TRUNC(C227*E227,2)</f>
        <v>848.95</v>
      </c>
      <c r="G227" s="56"/>
    </row>
    <row r="228" spans="1:8" ht="20.100000000000001" customHeight="1">
      <c r="A228" s="43"/>
      <c r="B228" s="48" t="s">
        <v>956</v>
      </c>
      <c r="C228" s="57"/>
      <c r="D228" s="47"/>
      <c r="E228" s="54"/>
      <c r="F228" s="98">
        <f>TRUNC(SUM(F227:F227),0)</f>
        <v>848</v>
      </c>
      <c r="G228" s="56"/>
    </row>
    <row r="229" spans="1:8" ht="20.100000000000001" customHeight="1">
      <c r="A229" s="52"/>
      <c r="B229" s="47"/>
      <c r="C229" s="61"/>
      <c r="D229" s="47"/>
      <c r="E229" s="62"/>
      <c r="F229" s="55"/>
      <c r="G229" s="56"/>
    </row>
    <row r="230" spans="1:8" ht="20.100000000000001" customHeight="1">
      <c r="A230" s="43"/>
      <c r="B230" s="63"/>
      <c r="C230" s="69"/>
      <c r="D230" s="63"/>
      <c r="E230" s="70"/>
      <c r="F230" s="66"/>
      <c r="G230" s="67"/>
    </row>
    <row r="231" spans="1:8" ht="20.100000000000001" customHeight="1">
      <c r="A231" s="71" t="s">
        <v>960</v>
      </c>
      <c r="B231" s="72"/>
      <c r="C231" s="73"/>
      <c r="D231" s="74"/>
      <c r="E231" s="75"/>
      <c r="F231" s="100">
        <f>TRUNC(F222+F226+F228,0)</f>
        <v>848</v>
      </c>
      <c r="G231" s="76"/>
    </row>
    <row r="232" spans="1:8" ht="20.100000000000001" customHeight="1">
      <c r="A232" s="45"/>
      <c r="B232" s="77"/>
      <c r="C232" s="78"/>
      <c r="D232" s="45"/>
      <c r="F232" s="81"/>
      <c r="G232" s="79"/>
    </row>
    <row r="233" spans="1:8" s="30" customFormat="1" ht="20.100000000000001" customHeight="1">
      <c r="H233" s="19"/>
    </row>
    <row r="234" spans="1:8" s="95" customFormat="1" ht="20.100000000000001" customHeight="1">
      <c r="A234" s="87" t="s">
        <v>944</v>
      </c>
      <c r="B234" s="88" t="s">
        <v>1241</v>
      </c>
      <c r="C234" s="89"/>
      <c r="D234" s="90"/>
      <c r="E234" s="91"/>
      <c r="F234" s="88"/>
      <c r="G234" s="92"/>
      <c r="H234" s="93"/>
    </row>
    <row r="235" spans="1:8" s="30" customFormat="1" ht="20.100000000000001" customHeight="1">
      <c r="A235" s="43" t="s">
        <v>945</v>
      </c>
      <c r="B235" s="44">
        <v>24000</v>
      </c>
      <c r="C235" s="80" t="s">
        <v>961</v>
      </c>
      <c r="D235" s="83" t="s">
        <v>923</v>
      </c>
      <c r="E235" s="23"/>
      <c r="G235" s="33"/>
      <c r="H235" s="19"/>
    </row>
    <row r="236" spans="1:8" s="30" customFormat="1" ht="20.100000000000001" customHeight="1">
      <c r="A236" s="46" t="s">
        <v>947</v>
      </c>
      <c r="B236" s="47" t="s">
        <v>948</v>
      </c>
      <c r="C236" s="47" t="s">
        <v>949</v>
      </c>
      <c r="D236" s="48" t="s">
        <v>950</v>
      </c>
      <c r="E236" s="49" t="s">
        <v>927</v>
      </c>
      <c r="F236" s="47" t="s">
        <v>951</v>
      </c>
      <c r="G236" s="50" t="s">
        <v>952</v>
      </c>
      <c r="H236" s="19"/>
    </row>
    <row r="237" spans="1:8" s="30" customFormat="1" ht="20.100000000000001" customHeight="1">
      <c r="A237" s="52" t="s">
        <v>819</v>
      </c>
      <c r="B237" s="47" t="s">
        <v>953</v>
      </c>
      <c r="C237" s="53">
        <v>13.9</v>
      </c>
      <c r="D237" s="47" t="s">
        <v>987</v>
      </c>
      <c r="E237" s="54">
        <f>C10</f>
        <v>1085</v>
      </c>
      <c r="F237" s="55">
        <f>TRUNC(C237*E237,2)</f>
        <v>15081.5</v>
      </c>
      <c r="G237" s="56"/>
      <c r="H237" s="19"/>
    </row>
    <row r="238" spans="1:8" s="51" customFormat="1" ht="20.100000000000001" customHeight="1">
      <c r="A238" s="43"/>
      <c r="B238" s="48" t="s">
        <v>954</v>
      </c>
      <c r="C238" s="57">
        <v>20</v>
      </c>
      <c r="D238" s="47" t="s">
        <v>955</v>
      </c>
      <c r="E238" s="58"/>
      <c r="F238" s="59">
        <f>TRUNC(F237*C238%,2)</f>
        <v>3016.3</v>
      </c>
      <c r="G238" s="56"/>
      <c r="H238" s="19"/>
    </row>
    <row r="239" spans="1:8" s="30" customFormat="1" ht="20.100000000000001" customHeight="1">
      <c r="A239" s="43"/>
      <c r="B239" s="47" t="s">
        <v>956</v>
      </c>
      <c r="C239" s="57"/>
      <c r="D239" s="48"/>
      <c r="E239" s="58"/>
      <c r="F239" s="99">
        <f>TRUNC(SUM(F237:F238),0)</f>
        <v>18097</v>
      </c>
      <c r="G239" s="60"/>
      <c r="H239" s="19"/>
    </row>
    <row r="240" spans="1:8" s="30" customFormat="1" ht="20.100000000000001" customHeight="1">
      <c r="A240" s="52" t="s">
        <v>818</v>
      </c>
      <c r="B240" s="47" t="s">
        <v>957</v>
      </c>
      <c r="C240" s="53">
        <v>1</v>
      </c>
      <c r="D240" s="47" t="s">
        <v>820</v>
      </c>
      <c r="E240" s="54">
        <f>$F$13</f>
        <v>20561</v>
      </c>
      <c r="F240" s="55">
        <f>TRUNC(C240*E240,2)</f>
        <v>20561</v>
      </c>
      <c r="G240" s="60" t="s">
        <v>1032</v>
      </c>
      <c r="H240" s="19"/>
    </row>
    <row r="241" spans="1:8" s="30" customFormat="1" ht="20.100000000000001" customHeight="1">
      <c r="A241" s="43"/>
      <c r="B241" s="48" t="s">
        <v>956</v>
      </c>
      <c r="C241" s="57"/>
      <c r="D241" s="47"/>
      <c r="E241" s="54"/>
      <c r="F241" s="98">
        <f>TRUNC(SUM(F240:F240),0)</f>
        <v>20561</v>
      </c>
      <c r="G241" s="56"/>
      <c r="H241" s="19"/>
    </row>
    <row r="242" spans="1:8" s="30" customFormat="1" ht="20.100000000000001" customHeight="1">
      <c r="A242" s="52" t="s">
        <v>958</v>
      </c>
      <c r="B242" s="47" t="s">
        <v>959</v>
      </c>
      <c r="C242" s="57">
        <v>0.20269999999999999</v>
      </c>
      <c r="D242" s="47"/>
      <c r="E242" s="54">
        <f>B235</f>
        <v>24000</v>
      </c>
      <c r="F242" s="55">
        <f>TRUNC(C242*E242,2)</f>
        <v>4864.8</v>
      </c>
      <c r="G242" s="56"/>
      <c r="H242" s="19"/>
    </row>
    <row r="243" spans="1:8" s="30" customFormat="1" ht="20.100000000000001" customHeight="1">
      <c r="A243" s="43"/>
      <c r="B243" s="48" t="s">
        <v>956</v>
      </c>
      <c r="C243" s="57"/>
      <c r="D243" s="47"/>
      <c r="E243" s="54"/>
      <c r="F243" s="98">
        <f>TRUNC(SUM(F242:F242),0)</f>
        <v>4864</v>
      </c>
      <c r="G243" s="56"/>
      <c r="H243" s="19"/>
    </row>
    <row r="244" spans="1:8" s="30" customFormat="1" ht="20.100000000000001" customHeight="1">
      <c r="A244" s="52"/>
      <c r="B244" s="47"/>
      <c r="C244" s="61"/>
      <c r="D244" s="47"/>
      <c r="E244" s="62"/>
      <c r="F244" s="55"/>
      <c r="G244" s="56"/>
      <c r="H244" s="19"/>
    </row>
    <row r="245" spans="1:8" s="30" customFormat="1" ht="20.100000000000001" customHeight="1">
      <c r="A245" s="43"/>
      <c r="B245" s="63"/>
      <c r="C245" s="64"/>
      <c r="D245" s="63"/>
      <c r="E245" s="65"/>
      <c r="F245" s="66"/>
      <c r="G245" s="67"/>
      <c r="H245" s="19"/>
    </row>
    <row r="246" spans="1:8" s="30" customFormat="1" ht="20.100000000000001" customHeight="1">
      <c r="A246" s="43"/>
      <c r="B246" s="63"/>
      <c r="C246" s="64"/>
      <c r="D246" s="63"/>
      <c r="E246" s="65"/>
      <c r="F246" s="66"/>
      <c r="G246" s="67"/>
      <c r="H246" s="19"/>
    </row>
    <row r="247" spans="1:8" s="30" customFormat="1" ht="20.100000000000001" customHeight="1">
      <c r="A247" s="71" t="s">
        <v>960</v>
      </c>
      <c r="B247" s="72"/>
      <c r="C247" s="73"/>
      <c r="D247" s="74"/>
      <c r="E247" s="75"/>
      <c r="F247" s="100">
        <f>F239+F241+F243</f>
        <v>43522</v>
      </c>
      <c r="G247" s="76"/>
      <c r="H247" s="19"/>
    </row>
    <row r="248" spans="1:8" s="30" customFormat="1" ht="20.100000000000001" customHeight="1">
      <c r="A248" s="45"/>
      <c r="B248" s="77"/>
      <c r="C248" s="78"/>
      <c r="D248" s="45"/>
      <c r="E248" s="23"/>
      <c r="F248" s="81"/>
      <c r="G248" s="79"/>
      <c r="H248" s="19"/>
    </row>
    <row r="249" spans="1:8" s="30" customFormat="1" ht="20.100000000000001" customHeight="1">
      <c r="H249" s="19"/>
    </row>
    <row r="250" spans="1:8" s="95" customFormat="1" ht="20.100000000000001" customHeight="1">
      <c r="A250" s="87" t="s">
        <v>944</v>
      </c>
      <c r="B250" s="96" t="s">
        <v>1441</v>
      </c>
      <c r="C250" s="89"/>
      <c r="D250" s="90"/>
      <c r="E250" s="91"/>
      <c r="F250" s="96"/>
      <c r="G250" s="92"/>
      <c r="H250" s="93"/>
    </row>
    <row r="251" spans="1:8" s="30" customFormat="1" ht="20.100000000000001" customHeight="1">
      <c r="A251" s="43" t="s">
        <v>945</v>
      </c>
      <c r="B251" s="35">
        <v>16360</v>
      </c>
      <c r="C251" s="80" t="s">
        <v>961</v>
      </c>
      <c r="D251" s="83" t="s">
        <v>924</v>
      </c>
      <c r="E251" s="23"/>
      <c r="G251" s="33"/>
      <c r="H251" s="19"/>
    </row>
    <row r="252" spans="1:8" s="30" customFormat="1" ht="20.100000000000001" customHeight="1">
      <c r="A252" s="46" t="s">
        <v>947</v>
      </c>
      <c r="B252" s="47" t="s">
        <v>948</v>
      </c>
      <c r="C252" s="47" t="s">
        <v>949</v>
      </c>
      <c r="D252" s="48" t="s">
        <v>950</v>
      </c>
      <c r="E252" s="49" t="s">
        <v>927</v>
      </c>
      <c r="F252" s="47" t="s">
        <v>951</v>
      </c>
      <c r="G252" s="50" t="s">
        <v>952</v>
      </c>
      <c r="H252" s="19"/>
    </row>
    <row r="253" spans="1:8" s="30" customFormat="1" ht="20.100000000000001" customHeight="1">
      <c r="A253" s="52" t="s">
        <v>819</v>
      </c>
      <c r="B253" s="47" t="s">
        <v>953</v>
      </c>
      <c r="C253" s="574">
        <v>8.6999999999999993</v>
      </c>
      <c r="D253" s="47" t="s">
        <v>987</v>
      </c>
      <c r="E253" s="54">
        <f>$C$10</f>
        <v>1085</v>
      </c>
      <c r="F253" s="55">
        <f>TRUNC(C253*E253,2)</f>
        <v>9439.5</v>
      </c>
      <c r="G253" s="56"/>
      <c r="H253" s="19"/>
    </row>
    <row r="254" spans="1:8" s="30" customFormat="1" ht="20.100000000000001" customHeight="1">
      <c r="A254" s="43"/>
      <c r="B254" s="48" t="s">
        <v>954</v>
      </c>
      <c r="C254" s="57">
        <v>24</v>
      </c>
      <c r="D254" s="47" t="s">
        <v>955</v>
      </c>
      <c r="E254" s="58"/>
      <c r="F254" s="59">
        <f>TRUNC(F253*C254%,2)</f>
        <v>2265.48</v>
      </c>
      <c r="G254" s="56"/>
      <c r="H254" s="19"/>
    </row>
    <row r="255" spans="1:8" s="30" customFormat="1" ht="20.100000000000001" customHeight="1">
      <c r="A255" s="43"/>
      <c r="B255" s="47" t="s">
        <v>956</v>
      </c>
      <c r="C255" s="57"/>
      <c r="D255" s="48"/>
      <c r="E255" s="58"/>
      <c r="F255" s="99">
        <f>TRUNC(SUM(F253:F254),0)</f>
        <v>11704</v>
      </c>
      <c r="G255" s="60"/>
      <c r="H255" s="19"/>
    </row>
    <row r="256" spans="1:8" s="30" customFormat="1" ht="20.100000000000001" customHeight="1">
      <c r="A256" s="52" t="s">
        <v>818</v>
      </c>
      <c r="B256" s="47" t="s">
        <v>957</v>
      </c>
      <c r="C256" s="53">
        <v>1</v>
      </c>
      <c r="D256" s="47" t="s">
        <v>820</v>
      </c>
      <c r="E256" s="54">
        <f>$F$15</f>
        <v>14915.4</v>
      </c>
      <c r="F256" s="55">
        <f>TRUNC(C256*E256,2)</f>
        <v>14915.4</v>
      </c>
      <c r="G256" s="60" t="s">
        <v>1033</v>
      </c>
      <c r="H256" s="19"/>
    </row>
    <row r="257" spans="1:8" s="30" customFormat="1" ht="20.100000000000001" customHeight="1">
      <c r="A257" s="43"/>
      <c r="B257" s="48" t="s">
        <v>956</v>
      </c>
      <c r="C257" s="57"/>
      <c r="D257" s="47"/>
      <c r="E257" s="54"/>
      <c r="F257" s="98">
        <f>TRUNC(SUM(F256:F256),0)</f>
        <v>14915</v>
      </c>
      <c r="G257" s="56"/>
      <c r="H257" s="19"/>
    </row>
    <row r="258" spans="1:8" s="30" customFormat="1" ht="20.100000000000001" customHeight="1">
      <c r="A258" s="52" t="s">
        <v>958</v>
      </c>
      <c r="B258" s="47" t="s">
        <v>959</v>
      </c>
      <c r="C258" s="57">
        <v>0.22939999999999999</v>
      </c>
      <c r="D258" s="47"/>
      <c r="E258" s="54">
        <f>B251</f>
        <v>16360</v>
      </c>
      <c r="F258" s="55">
        <f>TRUNC(C258*E258,2)</f>
        <v>3752.98</v>
      </c>
      <c r="G258" s="56"/>
      <c r="H258" s="19"/>
    </row>
    <row r="259" spans="1:8" s="30" customFormat="1" ht="20.100000000000001" customHeight="1">
      <c r="A259" s="43"/>
      <c r="B259" s="48" t="s">
        <v>956</v>
      </c>
      <c r="C259" s="57"/>
      <c r="D259" s="47"/>
      <c r="E259" s="54"/>
      <c r="F259" s="98">
        <f>TRUNC(SUM(F258:F258),0)</f>
        <v>3752</v>
      </c>
      <c r="G259" s="56"/>
      <c r="H259" s="19"/>
    </row>
    <row r="260" spans="1:8" s="30" customFormat="1" ht="20.100000000000001" customHeight="1">
      <c r="A260" s="52"/>
      <c r="B260" s="47"/>
      <c r="C260" s="61"/>
      <c r="D260" s="47"/>
      <c r="E260" s="62"/>
      <c r="F260" s="55"/>
      <c r="G260" s="56"/>
      <c r="H260" s="19"/>
    </row>
    <row r="261" spans="1:8" s="30" customFormat="1" ht="20.100000000000001" customHeight="1">
      <c r="A261" s="43"/>
      <c r="B261" s="63"/>
      <c r="C261" s="64"/>
      <c r="D261" s="63"/>
      <c r="E261" s="65"/>
      <c r="F261" s="66"/>
      <c r="G261" s="67"/>
      <c r="H261" s="19"/>
    </row>
    <row r="262" spans="1:8" s="30" customFormat="1" ht="20.100000000000001" customHeight="1">
      <c r="A262" s="43"/>
      <c r="B262" s="63"/>
      <c r="C262" s="69"/>
      <c r="D262" s="63"/>
      <c r="E262" s="70"/>
      <c r="F262" s="66"/>
      <c r="G262" s="67"/>
      <c r="H262" s="19"/>
    </row>
    <row r="263" spans="1:8" s="30" customFormat="1" ht="20.100000000000001" customHeight="1">
      <c r="A263" s="71" t="s">
        <v>960</v>
      </c>
      <c r="B263" s="72"/>
      <c r="C263" s="73"/>
      <c r="D263" s="74"/>
      <c r="E263" s="75"/>
      <c r="F263" s="100">
        <f>F255+F257+F259</f>
        <v>30371</v>
      </c>
      <c r="G263" s="76"/>
      <c r="H263" s="19"/>
    </row>
    <row r="264" spans="1:8" ht="20.100000000000001" customHeight="1">
      <c r="A264" s="45"/>
      <c r="B264" s="77"/>
      <c r="C264" s="78"/>
      <c r="D264" s="45"/>
      <c r="F264" s="81"/>
      <c r="G264" s="79"/>
    </row>
    <row r="265" spans="1:8" s="30" customFormat="1" ht="20.100000000000001" customHeight="1">
      <c r="H265" s="19"/>
    </row>
    <row r="266" spans="1:8" s="95" customFormat="1" ht="20.100000000000001" customHeight="1">
      <c r="A266" s="87" t="s">
        <v>944</v>
      </c>
      <c r="B266" s="88" t="s">
        <v>1442</v>
      </c>
      <c r="C266" s="89"/>
      <c r="D266" s="90"/>
      <c r="E266" s="91"/>
      <c r="F266" s="88"/>
      <c r="G266" s="92"/>
      <c r="H266" s="93"/>
    </row>
    <row r="267" spans="1:8" s="30" customFormat="1" ht="20.100000000000001" customHeight="1">
      <c r="A267" s="43" t="s">
        <v>945</v>
      </c>
      <c r="B267" s="44">
        <v>39000</v>
      </c>
      <c r="C267" s="80" t="s">
        <v>961</v>
      </c>
      <c r="D267" s="83" t="s">
        <v>923</v>
      </c>
      <c r="E267" s="23"/>
      <c r="G267" s="33"/>
      <c r="H267" s="19"/>
    </row>
    <row r="268" spans="1:8" s="30" customFormat="1" ht="20.100000000000001" customHeight="1">
      <c r="A268" s="46" t="s">
        <v>947</v>
      </c>
      <c r="B268" s="47" t="s">
        <v>948</v>
      </c>
      <c r="C268" s="47" t="s">
        <v>949</v>
      </c>
      <c r="D268" s="48" t="s">
        <v>950</v>
      </c>
      <c r="E268" s="49" t="s">
        <v>927</v>
      </c>
      <c r="F268" s="47" t="s">
        <v>951</v>
      </c>
      <c r="G268" s="50" t="s">
        <v>952</v>
      </c>
      <c r="H268" s="19"/>
    </row>
    <row r="269" spans="1:8" s="30" customFormat="1" ht="20.100000000000001" customHeight="1">
      <c r="A269" s="52" t="s">
        <v>819</v>
      </c>
      <c r="B269" s="47" t="s">
        <v>953</v>
      </c>
      <c r="C269" s="53">
        <v>27</v>
      </c>
      <c r="D269" s="47" t="s">
        <v>987</v>
      </c>
      <c r="E269" s="54">
        <f>$C$10</f>
        <v>1085</v>
      </c>
      <c r="F269" s="55">
        <f>TRUNC(C269*E269,2)</f>
        <v>29295</v>
      </c>
      <c r="G269" s="56"/>
      <c r="H269" s="19"/>
    </row>
    <row r="270" spans="1:8" s="51" customFormat="1" ht="20.100000000000001" customHeight="1">
      <c r="A270" s="43"/>
      <c r="B270" s="48" t="s">
        <v>954</v>
      </c>
      <c r="C270" s="57">
        <v>20</v>
      </c>
      <c r="D270" s="47" t="s">
        <v>955</v>
      </c>
      <c r="E270" s="58"/>
      <c r="F270" s="59">
        <f>TRUNC(F269*C270%,2)</f>
        <v>5859</v>
      </c>
      <c r="G270" s="56"/>
      <c r="H270" s="19"/>
    </row>
    <row r="271" spans="1:8" s="30" customFormat="1" ht="20.100000000000001" customHeight="1">
      <c r="A271" s="43"/>
      <c r="B271" s="47" t="s">
        <v>956</v>
      </c>
      <c r="C271" s="57"/>
      <c r="D271" s="48"/>
      <c r="E271" s="58"/>
      <c r="F271" s="99">
        <f>TRUNC(SUM(F269:F270),0)</f>
        <v>35154</v>
      </c>
      <c r="G271" s="60"/>
      <c r="H271" s="19"/>
    </row>
    <row r="272" spans="1:8" s="30" customFormat="1" ht="20.100000000000001" customHeight="1">
      <c r="A272" s="52" t="s">
        <v>818</v>
      </c>
      <c r="B272" s="47" t="s">
        <v>957</v>
      </c>
      <c r="C272" s="53">
        <v>1</v>
      </c>
      <c r="D272" s="47" t="s">
        <v>820</v>
      </c>
      <c r="E272" s="54">
        <f>$F$13</f>
        <v>20561</v>
      </c>
      <c r="F272" s="55">
        <f>TRUNC(C272*E272,2)</f>
        <v>20561</v>
      </c>
      <c r="G272" s="60" t="s">
        <v>1032</v>
      </c>
      <c r="H272" s="19"/>
    </row>
    <row r="273" spans="1:8" s="30" customFormat="1" ht="20.100000000000001" customHeight="1">
      <c r="A273" s="43"/>
      <c r="B273" s="48" t="s">
        <v>956</v>
      </c>
      <c r="C273" s="57"/>
      <c r="D273" s="47"/>
      <c r="E273" s="54"/>
      <c r="F273" s="98">
        <f>TRUNC(SUM(F272:F272),0)</f>
        <v>20561</v>
      </c>
      <c r="G273" s="56"/>
      <c r="H273" s="19"/>
    </row>
    <row r="274" spans="1:8" s="30" customFormat="1" ht="20.100000000000001" customHeight="1">
      <c r="A274" s="52" t="s">
        <v>958</v>
      </c>
      <c r="B274" s="47" t="s">
        <v>959</v>
      </c>
      <c r="C274" s="57">
        <v>0.20269999999999999</v>
      </c>
      <c r="D274" s="47"/>
      <c r="E274" s="54">
        <f>B267</f>
        <v>39000</v>
      </c>
      <c r="F274" s="55">
        <f>TRUNC(C274*E274,2)</f>
        <v>7905.3</v>
      </c>
      <c r="G274" s="56"/>
      <c r="H274" s="19"/>
    </row>
    <row r="275" spans="1:8" s="30" customFormat="1" ht="20.100000000000001" customHeight="1">
      <c r="A275" s="43"/>
      <c r="B275" s="48" t="s">
        <v>956</v>
      </c>
      <c r="C275" s="57"/>
      <c r="D275" s="47"/>
      <c r="E275" s="54"/>
      <c r="F275" s="98">
        <f>TRUNC(SUM(F274:F274),0)</f>
        <v>7905</v>
      </c>
      <c r="G275" s="56"/>
      <c r="H275" s="19"/>
    </row>
    <row r="276" spans="1:8" s="30" customFormat="1" ht="20.100000000000001" customHeight="1">
      <c r="A276" s="52"/>
      <c r="B276" s="47"/>
      <c r="C276" s="61"/>
      <c r="D276" s="47"/>
      <c r="E276" s="62"/>
      <c r="F276" s="55"/>
      <c r="G276" s="56"/>
      <c r="H276" s="19"/>
    </row>
    <row r="277" spans="1:8" s="30" customFormat="1" ht="20.100000000000001" customHeight="1">
      <c r="A277" s="43"/>
      <c r="B277" s="63"/>
      <c r="C277" s="64"/>
      <c r="D277" s="63"/>
      <c r="E277" s="65"/>
      <c r="F277" s="66"/>
      <c r="G277" s="67"/>
      <c r="H277" s="19"/>
    </row>
    <row r="278" spans="1:8" s="30" customFormat="1" ht="20.100000000000001" customHeight="1">
      <c r="A278" s="71" t="s">
        <v>960</v>
      </c>
      <c r="B278" s="72"/>
      <c r="C278" s="73"/>
      <c r="D278" s="74"/>
      <c r="E278" s="75"/>
      <c r="F278" s="100">
        <f>F271+F273+F275</f>
        <v>63620</v>
      </c>
      <c r="G278" s="76"/>
      <c r="H278" s="19"/>
    </row>
    <row r="279" spans="1:8" s="30" customFormat="1" ht="20.100000000000001" customHeight="1">
      <c r="H279" s="19"/>
    </row>
    <row r="280" spans="1:8" ht="20.100000000000001" customHeight="1">
      <c r="A280" s="206"/>
      <c r="B280" s="77"/>
      <c r="C280" s="78"/>
      <c r="D280" s="45"/>
      <c r="F280" s="81"/>
      <c r="G280" s="79"/>
    </row>
    <row r="281" spans="1:8" s="94" customFormat="1" ht="20.100000000000001" customHeight="1">
      <c r="A281" s="87" t="s">
        <v>944</v>
      </c>
      <c r="B281" s="96" t="s">
        <v>1464</v>
      </c>
      <c r="C281" s="89"/>
      <c r="D281" s="90"/>
      <c r="E281" s="91"/>
      <c r="F281" s="96"/>
      <c r="G281" s="92"/>
      <c r="H281" s="93"/>
    </row>
    <row r="282" spans="1:8" ht="20.100000000000001" customHeight="1">
      <c r="A282" s="43" t="s">
        <v>945</v>
      </c>
      <c r="B282" s="44">
        <v>28119</v>
      </c>
      <c r="C282" s="30" t="s">
        <v>946</v>
      </c>
      <c r="D282" s="45"/>
      <c r="F282" s="30"/>
      <c r="G282" s="33"/>
    </row>
    <row r="283" spans="1:8" ht="20.100000000000001" customHeight="1">
      <c r="A283" s="46" t="s">
        <v>947</v>
      </c>
      <c r="B283" s="47" t="s">
        <v>948</v>
      </c>
      <c r="C283" s="47" t="s">
        <v>949</v>
      </c>
      <c r="D283" s="48" t="s">
        <v>950</v>
      </c>
      <c r="E283" s="49" t="s">
        <v>927</v>
      </c>
      <c r="F283" s="47" t="s">
        <v>951</v>
      </c>
      <c r="G283" s="50" t="s">
        <v>952</v>
      </c>
    </row>
    <row r="284" spans="1:8" ht="20.100000000000001" customHeight="1">
      <c r="A284" s="52" t="s">
        <v>819</v>
      </c>
      <c r="B284" s="47" t="s">
        <v>953</v>
      </c>
      <c r="C284" s="53">
        <v>12.4</v>
      </c>
      <c r="D284" s="47" t="s">
        <v>987</v>
      </c>
      <c r="E284" s="54">
        <f>$C$10</f>
        <v>1085</v>
      </c>
      <c r="F284" s="55">
        <f>TRUNC(C284*E284,2)</f>
        <v>13454</v>
      </c>
      <c r="G284" s="56"/>
    </row>
    <row r="285" spans="1:8" ht="20.100000000000001" customHeight="1">
      <c r="A285" s="43"/>
      <c r="B285" s="48" t="s">
        <v>954</v>
      </c>
      <c r="C285" s="57">
        <v>44</v>
      </c>
      <c r="D285" s="47" t="s">
        <v>955</v>
      </c>
      <c r="E285" s="58"/>
      <c r="F285" s="59">
        <f>TRUNC(F284*C285%,2)</f>
        <v>5919.76</v>
      </c>
      <c r="G285" s="56"/>
    </row>
    <row r="286" spans="1:8" ht="20.100000000000001" customHeight="1">
      <c r="A286" s="43"/>
      <c r="B286" s="47" t="s">
        <v>956</v>
      </c>
      <c r="C286" s="57"/>
      <c r="D286" s="48"/>
      <c r="E286" s="58"/>
      <c r="F286" s="99">
        <f>TRUNC(SUM(F284:F285),0)</f>
        <v>19373</v>
      </c>
      <c r="G286" s="60"/>
    </row>
    <row r="287" spans="1:8" ht="20.100000000000001" customHeight="1">
      <c r="A287" s="52" t="s">
        <v>818</v>
      </c>
      <c r="B287" s="47" t="s">
        <v>957</v>
      </c>
      <c r="C287" s="53">
        <v>1</v>
      </c>
      <c r="D287" s="47" t="s">
        <v>820</v>
      </c>
      <c r="E287" s="54">
        <f>F191</f>
        <v>17696.2</v>
      </c>
      <c r="F287" s="55">
        <f>TRUNC(C287*E287,2)</f>
        <v>17696.2</v>
      </c>
      <c r="G287" s="60" t="s">
        <v>1035</v>
      </c>
    </row>
    <row r="288" spans="1:8" ht="20.100000000000001" customHeight="1">
      <c r="A288" s="43"/>
      <c r="B288" s="48" t="s">
        <v>956</v>
      </c>
      <c r="C288" s="57"/>
      <c r="D288" s="47"/>
      <c r="E288" s="54"/>
      <c r="F288" s="98">
        <f>TRUNC(SUM(F287:F287),0)</f>
        <v>17696</v>
      </c>
      <c r="G288" s="56"/>
    </row>
    <row r="289" spans="1:8" ht="20.100000000000001" customHeight="1">
      <c r="A289" s="52" t="s">
        <v>958</v>
      </c>
      <c r="B289" s="47" t="s">
        <v>959</v>
      </c>
      <c r="C289" s="57">
        <v>0.33889999999999998</v>
      </c>
      <c r="D289" s="47"/>
      <c r="E289" s="54">
        <f>B282</f>
        <v>28119</v>
      </c>
      <c r="F289" s="55">
        <f>TRUNC(C289*E289,2)</f>
        <v>9529.52</v>
      </c>
      <c r="G289" s="56"/>
    </row>
    <row r="290" spans="1:8" ht="20.100000000000001" customHeight="1">
      <c r="A290" s="43"/>
      <c r="B290" s="48" t="s">
        <v>956</v>
      </c>
      <c r="C290" s="57"/>
      <c r="D290" s="47"/>
      <c r="E290" s="54"/>
      <c r="F290" s="98">
        <f>TRUNC(SUM(F289:F289),0)</f>
        <v>9529</v>
      </c>
      <c r="G290" s="56"/>
    </row>
    <row r="291" spans="1:8" ht="20.100000000000001" customHeight="1">
      <c r="A291" s="52"/>
      <c r="B291" s="47"/>
      <c r="C291" s="61"/>
      <c r="D291" s="47"/>
      <c r="E291" s="62"/>
      <c r="F291" s="55"/>
      <c r="G291" s="56"/>
    </row>
    <row r="292" spans="1:8" ht="20.100000000000001" customHeight="1">
      <c r="A292" s="43"/>
      <c r="B292" s="63"/>
      <c r="C292" s="69"/>
      <c r="D292" s="63"/>
      <c r="E292" s="70"/>
      <c r="F292" s="66"/>
      <c r="G292" s="67"/>
    </row>
    <row r="293" spans="1:8" ht="20.100000000000001" customHeight="1">
      <c r="A293" s="71" t="s">
        <v>960</v>
      </c>
      <c r="B293" s="72"/>
      <c r="C293" s="73"/>
      <c r="D293" s="74"/>
      <c r="E293" s="75"/>
      <c r="F293" s="100">
        <f>F286+F288+F290</f>
        <v>46598</v>
      </c>
      <c r="G293" s="76"/>
    </row>
    <row r="294" spans="1:8" s="30" customFormat="1" ht="20.100000000000001" customHeight="1">
      <c r="A294" s="45"/>
      <c r="B294" s="77"/>
      <c r="C294" s="78"/>
      <c r="D294" s="45"/>
      <c r="E294" s="23"/>
      <c r="F294" s="81"/>
      <c r="G294" s="79"/>
      <c r="H294" s="19"/>
    </row>
    <row r="295" spans="1:8" ht="20.100000000000001" customHeight="1">
      <c r="A295" s="206"/>
      <c r="B295" s="77"/>
      <c r="C295" s="78"/>
      <c r="D295" s="45"/>
      <c r="F295" s="81"/>
      <c r="G295" s="79"/>
    </row>
    <row r="296" spans="1:8" s="94" customFormat="1" ht="20.100000000000001" customHeight="1">
      <c r="A296" s="87" t="s">
        <v>944</v>
      </c>
      <c r="B296" s="96" t="s">
        <v>1565</v>
      </c>
      <c r="C296" s="89"/>
      <c r="D296" s="90"/>
      <c r="E296" s="91"/>
      <c r="F296" s="96"/>
      <c r="G296" s="92"/>
      <c r="H296" s="93"/>
    </row>
    <row r="297" spans="1:8" ht="20.100000000000001" customHeight="1">
      <c r="A297" s="43" t="s">
        <v>945</v>
      </c>
      <c r="B297" s="44">
        <f>INT(D297*C6/1000)</f>
        <v>17299</v>
      </c>
      <c r="C297" s="30" t="s">
        <v>946</v>
      </c>
      <c r="D297" s="565">
        <v>13757</v>
      </c>
      <c r="F297" s="30"/>
      <c r="G297" s="33"/>
    </row>
    <row r="298" spans="1:8" ht="20.100000000000001" customHeight="1">
      <c r="A298" s="46" t="s">
        <v>947</v>
      </c>
      <c r="B298" s="47" t="s">
        <v>948</v>
      </c>
      <c r="C298" s="47" t="s">
        <v>949</v>
      </c>
      <c r="D298" s="48" t="s">
        <v>950</v>
      </c>
      <c r="E298" s="49" t="s">
        <v>927</v>
      </c>
      <c r="F298" s="47" t="s">
        <v>951</v>
      </c>
      <c r="G298" s="50" t="s">
        <v>952</v>
      </c>
    </row>
    <row r="299" spans="1:8" ht="20.100000000000001" customHeight="1">
      <c r="A299" s="52" t="s">
        <v>819</v>
      </c>
      <c r="B299" s="47" t="s">
        <v>953</v>
      </c>
      <c r="C299" s="53"/>
      <c r="D299" s="47" t="s">
        <v>987</v>
      </c>
      <c r="E299" s="54">
        <f>$C$10</f>
        <v>1085</v>
      </c>
      <c r="F299" s="55">
        <f>TRUNC(C299*E299,2)</f>
        <v>0</v>
      </c>
      <c r="G299" s="56"/>
    </row>
    <row r="300" spans="1:8" ht="20.100000000000001" customHeight="1">
      <c r="A300" s="43"/>
      <c r="B300" s="48" t="s">
        <v>954</v>
      </c>
      <c r="C300" s="57"/>
      <c r="D300" s="47" t="s">
        <v>955</v>
      </c>
      <c r="E300" s="58"/>
      <c r="F300" s="59">
        <f>TRUNC(F299*C300%,2)</f>
        <v>0</v>
      </c>
      <c r="G300" s="56"/>
    </row>
    <row r="301" spans="1:8" ht="20.100000000000001" customHeight="1">
      <c r="A301" s="43"/>
      <c r="B301" s="47" t="s">
        <v>956</v>
      </c>
      <c r="C301" s="57"/>
      <c r="D301" s="48"/>
      <c r="E301" s="58"/>
      <c r="F301" s="99">
        <f>TRUNC(SUM(F299:F300),0)</f>
        <v>0</v>
      </c>
      <c r="G301" s="60"/>
    </row>
    <row r="302" spans="1:8" ht="20.100000000000001" customHeight="1">
      <c r="A302" s="52" t="s">
        <v>818</v>
      </c>
      <c r="B302" s="47" t="s">
        <v>957</v>
      </c>
      <c r="C302" s="53"/>
      <c r="D302" s="47" t="s">
        <v>820</v>
      </c>
      <c r="E302" s="54"/>
      <c r="F302" s="55">
        <f>TRUNC(C302*E302,2)</f>
        <v>0</v>
      </c>
      <c r="G302" s="60"/>
    </row>
    <row r="303" spans="1:8" ht="20.100000000000001" customHeight="1">
      <c r="A303" s="43"/>
      <c r="B303" s="48" t="s">
        <v>956</v>
      </c>
      <c r="C303" s="57"/>
      <c r="D303" s="47"/>
      <c r="E303" s="54"/>
      <c r="F303" s="98">
        <f>TRUNC(SUM(F302:F302),0)</f>
        <v>0</v>
      </c>
      <c r="G303" s="56"/>
    </row>
    <row r="304" spans="1:8" ht="20.100000000000001" customHeight="1">
      <c r="A304" s="52" t="s">
        <v>958</v>
      </c>
      <c r="B304" s="47" t="s">
        <v>959</v>
      </c>
      <c r="C304" s="57">
        <v>0.42880000000000001</v>
      </c>
      <c r="D304" s="47"/>
      <c r="E304" s="54">
        <f>B297</f>
        <v>17299</v>
      </c>
      <c r="F304" s="55">
        <f>TRUNC(C304*E304,2)</f>
        <v>7417.81</v>
      </c>
      <c r="G304" s="56"/>
    </row>
    <row r="305" spans="1:8" ht="20.100000000000001" customHeight="1">
      <c r="A305" s="43"/>
      <c r="B305" s="48" t="s">
        <v>956</v>
      </c>
      <c r="C305" s="57"/>
      <c r="D305" s="47"/>
      <c r="E305" s="54"/>
      <c r="F305" s="98">
        <f>TRUNC(SUM(F304:F304),0)</f>
        <v>7417</v>
      </c>
      <c r="G305" s="56"/>
    </row>
    <row r="306" spans="1:8" ht="20.100000000000001" customHeight="1">
      <c r="A306" s="52"/>
      <c r="B306" s="47"/>
      <c r="C306" s="61"/>
      <c r="D306" s="47"/>
      <c r="E306" s="62"/>
      <c r="F306" s="55"/>
      <c r="G306" s="56"/>
    </row>
    <row r="307" spans="1:8" ht="20.100000000000001" customHeight="1">
      <c r="A307" s="43"/>
      <c r="B307" s="63"/>
      <c r="C307" s="64"/>
      <c r="D307" s="63"/>
      <c r="E307" s="65"/>
      <c r="F307" s="66"/>
      <c r="G307" s="67"/>
    </row>
    <row r="308" spans="1:8" ht="20.100000000000001" customHeight="1">
      <c r="A308" s="43"/>
      <c r="B308" s="68"/>
      <c r="C308" s="69"/>
      <c r="D308" s="63"/>
      <c r="E308" s="70"/>
      <c r="F308" s="66"/>
      <c r="G308" s="67"/>
    </row>
    <row r="309" spans="1:8" ht="20.100000000000001" customHeight="1">
      <c r="A309" s="43"/>
      <c r="B309" s="63"/>
      <c r="C309" s="69"/>
      <c r="D309" s="63"/>
      <c r="E309" s="70"/>
      <c r="F309" s="66"/>
      <c r="G309" s="67"/>
    </row>
    <row r="310" spans="1:8" ht="20.100000000000001" customHeight="1">
      <c r="A310" s="71" t="s">
        <v>960</v>
      </c>
      <c r="B310" s="72"/>
      <c r="C310" s="73"/>
      <c r="D310" s="74"/>
      <c r="E310" s="75"/>
      <c r="F310" s="100">
        <f>F301+F303+F305</f>
        <v>7417</v>
      </c>
      <c r="G310" s="76"/>
    </row>
    <row r="311" spans="1:8" s="30" customFormat="1" ht="20.100000000000001" customHeight="1">
      <c r="A311" s="45"/>
      <c r="B311" s="77"/>
      <c r="C311" s="78"/>
      <c r="D311" s="45"/>
      <c r="E311" s="23"/>
      <c r="F311" s="81"/>
      <c r="G311" s="79"/>
      <c r="H311" s="19"/>
    </row>
    <row r="312" spans="1:8" ht="20.100000000000001" customHeight="1">
      <c r="A312" s="206"/>
      <c r="B312" s="77"/>
      <c r="C312" s="78"/>
      <c r="D312" s="45"/>
      <c r="F312" s="81"/>
      <c r="G312" s="79"/>
    </row>
    <row r="313" spans="1:8" s="94" customFormat="1" ht="20.100000000000001" customHeight="1">
      <c r="A313" s="87" t="s">
        <v>944</v>
      </c>
      <c r="B313" s="96" t="s">
        <v>1603</v>
      </c>
      <c r="C313" s="89"/>
      <c r="D313" s="90"/>
      <c r="E313" s="91"/>
      <c r="F313" s="96"/>
      <c r="G313" s="92"/>
      <c r="H313" s="93"/>
    </row>
    <row r="314" spans="1:8" ht="20.100000000000001" customHeight="1">
      <c r="A314" s="43" t="s">
        <v>945</v>
      </c>
      <c r="B314" s="44">
        <f>INT(D314*C6/1000)</f>
        <v>17592</v>
      </c>
      <c r="C314" s="30" t="s">
        <v>946</v>
      </c>
      <c r="D314" s="565">
        <v>13990</v>
      </c>
      <c r="F314" s="30"/>
      <c r="G314" s="33"/>
    </row>
    <row r="315" spans="1:8" ht="20.100000000000001" customHeight="1">
      <c r="A315" s="46" t="s">
        <v>947</v>
      </c>
      <c r="B315" s="47" t="s">
        <v>948</v>
      </c>
      <c r="C315" s="47" t="s">
        <v>949</v>
      </c>
      <c r="D315" s="48" t="s">
        <v>950</v>
      </c>
      <c r="E315" s="49" t="s">
        <v>927</v>
      </c>
      <c r="F315" s="47" t="s">
        <v>951</v>
      </c>
      <c r="G315" s="50" t="s">
        <v>952</v>
      </c>
    </row>
    <row r="316" spans="1:8" ht="20.100000000000001" customHeight="1">
      <c r="A316" s="52" t="s">
        <v>819</v>
      </c>
      <c r="B316" s="47" t="s">
        <v>953</v>
      </c>
      <c r="C316" s="53">
        <v>3.9</v>
      </c>
      <c r="D316" s="47" t="s">
        <v>987</v>
      </c>
      <c r="E316" s="54">
        <f>C9</f>
        <v>1114</v>
      </c>
      <c r="F316" s="55">
        <f>TRUNC(C316*E316,2)</f>
        <v>4344.6000000000004</v>
      </c>
      <c r="G316" s="56" t="s">
        <v>1604</v>
      </c>
    </row>
    <row r="317" spans="1:8" ht="20.100000000000001" customHeight="1">
      <c r="A317" s="43"/>
      <c r="B317" s="48" t="s">
        <v>954</v>
      </c>
      <c r="C317" s="57">
        <v>2</v>
      </c>
      <c r="D317" s="47" t="s">
        <v>955</v>
      </c>
      <c r="E317" s="58"/>
      <c r="F317" s="59">
        <f>TRUNC(F316*C317%,2)</f>
        <v>86.89</v>
      </c>
      <c r="G317" s="56"/>
    </row>
    <row r="318" spans="1:8" ht="20.100000000000001" customHeight="1">
      <c r="A318" s="43"/>
      <c r="B318" s="47" t="s">
        <v>956</v>
      </c>
      <c r="C318" s="57"/>
      <c r="D318" s="48"/>
      <c r="E318" s="58"/>
      <c r="F318" s="99">
        <f>TRUNC(SUM(F316:F317),0)</f>
        <v>4431</v>
      </c>
      <c r="G318" s="60"/>
    </row>
    <row r="319" spans="1:8" ht="20.100000000000001" customHeight="1">
      <c r="A319" s="52" t="s">
        <v>818</v>
      </c>
      <c r="B319" s="47" t="s">
        <v>957</v>
      </c>
      <c r="C319" s="53">
        <v>1</v>
      </c>
      <c r="D319" s="47" t="s">
        <v>820</v>
      </c>
      <c r="E319" s="54">
        <f>F15</f>
        <v>14915.4</v>
      </c>
      <c r="F319" s="55">
        <f>TRUNC(C319*E319,2)</f>
        <v>14915.4</v>
      </c>
      <c r="G319" s="60"/>
    </row>
    <row r="320" spans="1:8" ht="20.100000000000001" customHeight="1">
      <c r="A320" s="43"/>
      <c r="B320" s="48" t="s">
        <v>956</v>
      </c>
      <c r="C320" s="57"/>
      <c r="D320" s="47"/>
      <c r="E320" s="54"/>
      <c r="F320" s="98">
        <f>TRUNC(SUM(F319:F319),0)</f>
        <v>14915</v>
      </c>
      <c r="G320" s="56"/>
    </row>
    <row r="321" spans="1:8" ht="20.100000000000001" customHeight="1">
      <c r="A321" s="52" t="s">
        <v>958</v>
      </c>
      <c r="B321" s="47" t="s">
        <v>959</v>
      </c>
      <c r="C321" s="57">
        <v>0.29709999999999998</v>
      </c>
      <c r="D321" s="47"/>
      <c r="E321" s="54">
        <f>B314</f>
        <v>17592</v>
      </c>
      <c r="F321" s="55">
        <f>TRUNC(C321*E321,2)</f>
        <v>5226.58</v>
      </c>
      <c r="G321" s="56"/>
    </row>
    <row r="322" spans="1:8" ht="20.100000000000001" customHeight="1">
      <c r="A322" s="43"/>
      <c r="B322" s="48" t="s">
        <v>956</v>
      </c>
      <c r="C322" s="57"/>
      <c r="D322" s="47"/>
      <c r="E322" s="54"/>
      <c r="F322" s="98">
        <f>TRUNC(SUM(F321:F321),0)</f>
        <v>5226</v>
      </c>
      <c r="G322" s="56"/>
    </row>
    <row r="323" spans="1:8" ht="20.100000000000001" customHeight="1">
      <c r="A323" s="52"/>
      <c r="B323" s="47"/>
      <c r="C323" s="61"/>
      <c r="D323" s="47"/>
      <c r="E323" s="62"/>
      <c r="F323" s="55"/>
      <c r="G323" s="56"/>
    </row>
    <row r="324" spans="1:8" ht="20.100000000000001" customHeight="1">
      <c r="A324" s="43"/>
      <c r="B324" s="63"/>
      <c r="C324" s="64"/>
      <c r="D324" s="63"/>
      <c r="E324" s="65"/>
      <c r="F324" s="66"/>
      <c r="G324" s="67"/>
    </row>
    <row r="325" spans="1:8" ht="20.100000000000001" customHeight="1">
      <c r="A325" s="43"/>
      <c r="B325" s="63"/>
      <c r="C325" s="69"/>
      <c r="D325" s="63"/>
      <c r="E325" s="70"/>
      <c r="F325" s="66"/>
      <c r="G325" s="67"/>
    </row>
    <row r="326" spans="1:8" ht="20.100000000000001" customHeight="1">
      <c r="A326" s="71" t="s">
        <v>960</v>
      </c>
      <c r="B326" s="72"/>
      <c r="C326" s="73"/>
      <c r="D326" s="74"/>
      <c r="E326" s="75"/>
      <c r="F326" s="100">
        <f>F318+F320+F322</f>
        <v>24572</v>
      </c>
      <c r="G326" s="76"/>
    </row>
    <row r="327" spans="1:8" s="30" customFormat="1" ht="20.100000000000001" customHeight="1">
      <c r="A327" s="45"/>
      <c r="B327" s="77"/>
      <c r="C327" s="78"/>
      <c r="D327" s="45"/>
      <c r="E327" s="23"/>
      <c r="F327" s="81"/>
      <c r="G327" s="79"/>
      <c r="H327" s="19"/>
    </row>
    <row r="328" spans="1:8" ht="20.100000000000001" customHeight="1">
      <c r="A328" s="206"/>
      <c r="B328" s="77"/>
      <c r="C328" s="78"/>
      <c r="D328" s="45"/>
      <c r="F328" s="81"/>
      <c r="G328" s="79"/>
    </row>
    <row r="329" spans="1:8" s="94" customFormat="1" ht="20.100000000000001" customHeight="1">
      <c r="A329" s="87" t="s">
        <v>944</v>
      </c>
      <c r="B329" s="88" t="s">
        <v>1606</v>
      </c>
      <c r="C329" s="89"/>
      <c r="D329" s="90"/>
      <c r="E329" s="91"/>
      <c r="F329" s="96"/>
      <c r="G329" s="92"/>
      <c r="H329" s="93"/>
    </row>
    <row r="330" spans="1:8" ht="20.100000000000001" customHeight="1">
      <c r="A330" s="43" t="s">
        <v>945</v>
      </c>
      <c r="B330" s="44">
        <v>3852</v>
      </c>
      <c r="C330" s="30" t="s">
        <v>946</v>
      </c>
      <c r="D330" s="565"/>
      <c r="F330" s="30"/>
      <c r="G330" s="33"/>
    </row>
    <row r="331" spans="1:8" ht="20.100000000000001" customHeight="1">
      <c r="A331" s="46" t="s">
        <v>947</v>
      </c>
      <c r="B331" s="47" t="s">
        <v>948</v>
      </c>
      <c r="C331" s="47" t="s">
        <v>949</v>
      </c>
      <c r="D331" s="48" t="s">
        <v>950</v>
      </c>
      <c r="E331" s="49" t="s">
        <v>927</v>
      </c>
      <c r="F331" s="47" t="s">
        <v>951</v>
      </c>
      <c r="G331" s="50" t="s">
        <v>952</v>
      </c>
    </row>
    <row r="332" spans="1:8" ht="20.100000000000001" customHeight="1">
      <c r="A332" s="52" t="s">
        <v>819</v>
      </c>
      <c r="B332" s="47" t="s">
        <v>953</v>
      </c>
      <c r="C332" s="53">
        <v>7.6</v>
      </c>
      <c r="D332" s="47" t="s">
        <v>987</v>
      </c>
      <c r="E332" s="54">
        <f>$C$10</f>
        <v>1085</v>
      </c>
      <c r="F332" s="55">
        <f>TRUNC(C332*E332,2)</f>
        <v>8246</v>
      </c>
      <c r="G332" s="56"/>
    </row>
    <row r="333" spans="1:8" ht="20.100000000000001" customHeight="1">
      <c r="A333" s="43"/>
      <c r="B333" s="48" t="s">
        <v>954</v>
      </c>
      <c r="C333" s="57">
        <v>16</v>
      </c>
      <c r="D333" s="47" t="s">
        <v>955</v>
      </c>
      <c r="E333" s="58"/>
      <c r="F333" s="59">
        <f>TRUNC(F332*C333%,2)</f>
        <v>1319.36</v>
      </c>
      <c r="G333" s="56"/>
    </row>
    <row r="334" spans="1:8" ht="20.100000000000001" customHeight="1">
      <c r="A334" s="43"/>
      <c r="B334" s="47" t="s">
        <v>956</v>
      </c>
      <c r="C334" s="57"/>
      <c r="D334" s="48"/>
      <c r="E334" s="58"/>
      <c r="F334" s="99">
        <f>TRUNC(SUM(F332:F333),0)</f>
        <v>9565</v>
      </c>
      <c r="G334" s="60"/>
    </row>
    <row r="335" spans="1:8" ht="20.100000000000001" customHeight="1">
      <c r="A335" s="52" t="s">
        <v>818</v>
      </c>
      <c r="B335" s="47" t="s">
        <v>957</v>
      </c>
      <c r="C335" s="53">
        <v>0</v>
      </c>
      <c r="D335" s="47" t="s">
        <v>820</v>
      </c>
      <c r="E335" s="54">
        <f>F32</f>
        <v>0</v>
      </c>
      <c r="F335" s="55">
        <f>TRUNC(C335*E335,2)</f>
        <v>0</v>
      </c>
      <c r="G335" s="60"/>
    </row>
    <row r="336" spans="1:8" ht="20.100000000000001" customHeight="1">
      <c r="A336" s="43"/>
      <c r="B336" s="48" t="s">
        <v>956</v>
      </c>
      <c r="C336" s="57"/>
      <c r="D336" s="47"/>
      <c r="E336" s="54"/>
      <c r="F336" s="98">
        <f>TRUNC(SUM(F335:F335),0)</f>
        <v>0</v>
      </c>
      <c r="G336" s="56"/>
    </row>
    <row r="337" spans="1:8" ht="20.100000000000001" customHeight="1">
      <c r="A337" s="52" t="s">
        <v>958</v>
      </c>
      <c r="B337" s="47" t="s">
        <v>959</v>
      </c>
      <c r="C337" s="57">
        <v>0.27310000000000001</v>
      </c>
      <c r="D337" s="47"/>
      <c r="E337" s="54">
        <f>B330</f>
        <v>3852</v>
      </c>
      <c r="F337" s="55">
        <f>TRUNC(C337*E337,2)</f>
        <v>1051.98</v>
      </c>
      <c r="G337" s="56"/>
    </row>
    <row r="338" spans="1:8" ht="20.100000000000001" customHeight="1">
      <c r="A338" s="43"/>
      <c r="B338" s="48" t="s">
        <v>956</v>
      </c>
      <c r="C338" s="57"/>
      <c r="D338" s="47"/>
      <c r="E338" s="54"/>
      <c r="F338" s="98">
        <f>TRUNC(SUM(F337:F337),0)</f>
        <v>1051</v>
      </c>
      <c r="G338" s="56"/>
    </row>
    <row r="339" spans="1:8" ht="20.100000000000001" customHeight="1">
      <c r="A339" s="52"/>
      <c r="B339" s="47"/>
      <c r="C339" s="61"/>
      <c r="D339" s="47"/>
      <c r="E339" s="62"/>
      <c r="F339" s="55"/>
      <c r="G339" s="56"/>
    </row>
    <row r="340" spans="1:8" ht="20.100000000000001" customHeight="1">
      <c r="A340" s="43"/>
      <c r="B340" s="68"/>
      <c r="C340" s="69"/>
      <c r="D340" s="63"/>
      <c r="E340" s="70"/>
      <c r="F340" s="66"/>
      <c r="G340" s="67"/>
    </row>
    <row r="341" spans="1:8" ht="20.100000000000001" customHeight="1">
      <c r="A341" s="43"/>
      <c r="B341" s="63"/>
      <c r="C341" s="69"/>
      <c r="D341" s="63"/>
      <c r="E341" s="70"/>
      <c r="F341" s="66"/>
      <c r="G341" s="67"/>
    </row>
    <row r="342" spans="1:8" ht="20.100000000000001" customHeight="1">
      <c r="A342" s="71" t="s">
        <v>960</v>
      </c>
      <c r="B342" s="72"/>
      <c r="C342" s="73"/>
      <c r="D342" s="74"/>
      <c r="E342" s="75"/>
      <c r="F342" s="100">
        <f>F334+F336+F338</f>
        <v>10616</v>
      </c>
      <c r="G342" s="76"/>
    </row>
    <row r="343" spans="1:8" s="30" customFormat="1" ht="20.100000000000001" customHeight="1">
      <c r="A343" s="45"/>
      <c r="B343" s="77"/>
      <c r="C343" s="78"/>
      <c r="D343" s="45"/>
      <c r="E343" s="23"/>
      <c r="F343" s="81"/>
      <c r="G343" s="79"/>
      <c r="H343" s="19"/>
    </row>
    <row r="344" spans="1:8" ht="20.100000000000001" customHeight="1">
      <c r="A344" s="206"/>
      <c r="B344" s="77"/>
      <c r="C344" s="78"/>
      <c r="D344" s="45"/>
      <c r="F344" s="81"/>
      <c r="G344" s="79"/>
    </row>
    <row r="345" spans="1:8" s="94" customFormat="1" ht="20.100000000000001" customHeight="1">
      <c r="A345" s="87" t="s">
        <v>944</v>
      </c>
      <c r="B345" s="88" t="s">
        <v>1605</v>
      </c>
      <c r="C345" s="89"/>
      <c r="D345" s="90"/>
      <c r="E345" s="91"/>
      <c r="F345" s="96"/>
      <c r="G345" s="92"/>
      <c r="H345" s="93"/>
    </row>
    <row r="346" spans="1:8" ht="20.100000000000001" customHeight="1">
      <c r="A346" s="43" t="s">
        <v>945</v>
      </c>
      <c r="B346" s="44">
        <v>4900</v>
      </c>
      <c r="C346" s="30" t="s">
        <v>946</v>
      </c>
      <c r="D346" s="565"/>
      <c r="F346" s="30"/>
      <c r="G346" s="33"/>
    </row>
    <row r="347" spans="1:8" ht="20.100000000000001" customHeight="1">
      <c r="A347" s="46" t="s">
        <v>947</v>
      </c>
      <c r="B347" s="47" t="s">
        <v>948</v>
      </c>
      <c r="C347" s="47" t="s">
        <v>949</v>
      </c>
      <c r="D347" s="48" t="s">
        <v>950</v>
      </c>
      <c r="E347" s="49" t="s">
        <v>927</v>
      </c>
      <c r="F347" s="47" t="s">
        <v>951</v>
      </c>
      <c r="G347" s="50" t="s">
        <v>952</v>
      </c>
    </row>
    <row r="348" spans="1:8" ht="20.100000000000001" customHeight="1">
      <c r="A348" s="52" t="s">
        <v>819</v>
      </c>
      <c r="B348" s="47" t="s">
        <v>953</v>
      </c>
      <c r="C348" s="53"/>
      <c r="D348" s="47" t="s">
        <v>987</v>
      </c>
      <c r="E348" s="54"/>
      <c r="F348" s="55">
        <f>TRUNC(C348*E348,2)</f>
        <v>0</v>
      </c>
      <c r="G348" s="56"/>
    </row>
    <row r="349" spans="1:8" ht="20.100000000000001" customHeight="1">
      <c r="A349" s="43"/>
      <c r="B349" s="48" t="s">
        <v>954</v>
      </c>
      <c r="C349" s="57"/>
      <c r="D349" s="47" t="s">
        <v>955</v>
      </c>
      <c r="E349" s="58"/>
      <c r="F349" s="59">
        <f>TRUNC(F348*C349%,2)</f>
        <v>0</v>
      </c>
      <c r="G349" s="56"/>
    </row>
    <row r="350" spans="1:8" ht="20.100000000000001" customHeight="1">
      <c r="A350" s="43"/>
      <c r="B350" s="47" t="s">
        <v>956</v>
      </c>
      <c r="C350" s="57"/>
      <c r="D350" s="48"/>
      <c r="E350" s="58"/>
      <c r="F350" s="99">
        <f>TRUNC(SUM(F348:F349),0)</f>
        <v>0</v>
      </c>
      <c r="G350" s="60"/>
    </row>
    <row r="351" spans="1:8" ht="20.100000000000001" customHeight="1">
      <c r="A351" s="52" t="s">
        <v>818</v>
      </c>
      <c r="B351" s="47" t="s">
        <v>957</v>
      </c>
      <c r="C351" s="53"/>
      <c r="D351" s="47" t="s">
        <v>820</v>
      </c>
      <c r="E351" s="54"/>
      <c r="F351" s="55">
        <f>TRUNC(C351*E351,2)</f>
        <v>0</v>
      </c>
      <c r="G351" s="60"/>
    </row>
    <row r="352" spans="1:8" ht="20.100000000000001" customHeight="1">
      <c r="A352" s="43"/>
      <c r="B352" s="48" t="s">
        <v>956</v>
      </c>
      <c r="C352" s="57"/>
      <c r="D352" s="47"/>
      <c r="E352" s="54"/>
      <c r="F352" s="98">
        <f>TRUNC(SUM(F351:F351),0)</f>
        <v>0</v>
      </c>
      <c r="G352" s="56"/>
    </row>
    <row r="353" spans="1:8" ht="20.100000000000001" customHeight="1">
      <c r="A353" s="52" t="s">
        <v>958</v>
      </c>
      <c r="B353" s="47" t="s">
        <v>959</v>
      </c>
      <c r="C353" s="57">
        <v>0.43459999999999999</v>
      </c>
      <c r="D353" s="47"/>
      <c r="E353" s="54">
        <f>B346</f>
        <v>4900</v>
      </c>
      <c r="F353" s="55">
        <f>TRUNC(C353*E353,2)</f>
        <v>2129.54</v>
      </c>
      <c r="G353" s="56"/>
    </row>
    <row r="354" spans="1:8" ht="20.100000000000001" customHeight="1">
      <c r="A354" s="43"/>
      <c r="B354" s="48" t="s">
        <v>956</v>
      </c>
      <c r="C354" s="57"/>
      <c r="D354" s="47"/>
      <c r="E354" s="54"/>
      <c r="F354" s="98">
        <f>TRUNC(SUM(F353:F353),0)</f>
        <v>2129</v>
      </c>
      <c r="G354" s="56"/>
    </row>
    <row r="355" spans="1:8" ht="20.100000000000001" customHeight="1">
      <c r="A355" s="52"/>
      <c r="B355" s="47"/>
      <c r="C355" s="61"/>
      <c r="D355" s="47"/>
      <c r="E355" s="62"/>
      <c r="F355" s="55"/>
      <c r="G355" s="56"/>
    </row>
    <row r="356" spans="1:8" ht="20.100000000000001" customHeight="1">
      <c r="A356" s="43"/>
      <c r="B356" s="68"/>
      <c r="C356" s="69"/>
      <c r="D356" s="63"/>
      <c r="E356" s="70"/>
      <c r="F356" s="66"/>
      <c r="G356" s="67"/>
    </row>
    <row r="357" spans="1:8" ht="20.100000000000001" customHeight="1">
      <c r="A357" s="43"/>
      <c r="B357" s="63"/>
      <c r="C357" s="69"/>
      <c r="D357" s="63"/>
      <c r="E357" s="70"/>
      <c r="F357" s="66"/>
      <c r="G357" s="67"/>
    </row>
    <row r="358" spans="1:8" ht="20.100000000000001" customHeight="1">
      <c r="A358" s="71" t="s">
        <v>960</v>
      </c>
      <c r="B358" s="72"/>
      <c r="C358" s="73"/>
      <c r="D358" s="74"/>
      <c r="E358" s="75"/>
      <c r="F358" s="100">
        <f>F350+F352+F354</f>
        <v>2129</v>
      </c>
      <c r="G358" s="76"/>
    </row>
    <row r="359" spans="1:8" s="30" customFormat="1" ht="20.100000000000001" customHeight="1">
      <c r="A359" s="45"/>
      <c r="B359" s="77"/>
      <c r="C359" s="78"/>
      <c r="D359" s="45"/>
      <c r="E359" s="23"/>
      <c r="F359" s="81"/>
      <c r="G359" s="79"/>
      <c r="H359" s="19"/>
    </row>
    <row r="360" spans="1:8" ht="20.100000000000001" customHeight="1">
      <c r="A360" s="206"/>
      <c r="B360" s="77"/>
      <c r="C360" s="78"/>
      <c r="D360" s="45"/>
      <c r="F360" s="81"/>
      <c r="G360" s="79"/>
    </row>
    <row r="361" spans="1:8" s="94" customFormat="1" ht="20.100000000000001" customHeight="1">
      <c r="A361" s="87" t="s">
        <v>944</v>
      </c>
      <c r="B361" s="88" t="s">
        <v>1622</v>
      </c>
      <c r="C361" s="89"/>
      <c r="D361" s="90"/>
      <c r="E361" s="91"/>
      <c r="F361" s="96"/>
      <c r="G361" s="92"/>
      <c r="H361" s="93"/>
    </row>
    <row r="362" spans="1:8" ht="20.100000000000001" customHeight="1">
      <c r="A362" s="43" t="s">
        <v>945</v>
      </c>
      <c r="B362" s="44">
        <v>134850</v>
      </c>
      <c r="C362" s="30" t="s">
        <v>946</v>
      </c>
      <c r="D362" s="565"/>
      <c r="F362" s="30"/>
      <c r="G362" s="33"/>
    </row>
    <row r="363" spans="1:8" ht="20.100000000000001" customHeight="1">
      <c r="A363" s="46" t="s">
        <v>947</v>
      </c>
      <c r="B363" s="47" t="s">
        <v>948</v>
      </c>
      <c r="C363" s="47" t="s">
        <v>949</v>
      </c>
      <c r="D363" s="48" t="s">
        <v>950</v>
      </c>
      <c r="E363" s="49" t="s">
        <v>927</v>
      </c>
      <c r="F363" s="47" t="s">
        <v>951</v>
      </c>
      <c r="G363" s="50" t="s">
        <v>952</v>
      </c>
    </row>
    <row r="364" spans="1:8" ht="20.100000000000001" customHeight="1">
      <c r="A364" s="52" t="s">
        <v>819</v>
      </c>
      <c r="B364" s="47" t="s">
        <v>953</v>
      </c>
      <c r="C364" s="53">
        <v>6.4</v>
      </c>
      <c r="D364" s="47" t="s">
        <v>987</v>
      </c>
      <c r="E364" s="54">
        <f>C10</f>
        <v>1085</v>
      </c>
      <c r="F364" s="55">
        <f>TRUNC(C364*E364,2)</f>
        <v>6944</v>
      </c>
      <c r="G364" s="56"/>
    </row>
    <row r="365" spans="1:8" ht="20.100000000000001" customHeight="1">
      <c r="A365" s="43"/>
      <c r="B365" s="48" t="s">
        <v>954</v>
      </c>
      <c r="C365" s="57">
        <v>20</v>
      </c>
      <c r="D365" s="47" t="s">
        <v>955</v>
      </c>
      <c r="E365" s="58"/>
      <c r="F365" s="59">
        <f>TRUNC(F364*C365%,2)</f>
        <v>1388.8</v>
      </c>
      <c r="G365" s="56"/>
    </row>
    <row r="366" spans="1:8" ht="20.100000000000001" customHeight="1">
      <c r="A366" s="43"/>
      <c r="B366" s="47" t="s">
        <v>956</v>
      </c>
      <c r="C366" s="57"/>
      <c r="D366" s="48"/>
      <c r="E366" s="58"/>
      <c r="F366" s="99">
        <f>TRUNC(SUM(F364:F365),0)</f>
        <v>8332</v>
      </c>
      <c r="G366" s="60"/>
    </row>
    <row r="367" spans="1:8" ht="20.100000000000001" customHeight="1">
      <c r="A367" s="52" t="s">
        <v>818</v>
      </c>
      <c r="B367" s="47" t="s">
        <v>957</v>
      </c>
      <c r="C367" s="53">
        <v>1</v>
      </c>
      <c r="D367" s="47" t="s">
        <v>820</v>
      </c>
      <c r="E367" s="54">
        <f>F15</f>
        <v>14915.4</v>
      </c>
      <c r="F367" s="55">
        <f>TRUNC(C367*E367,2)</f>
        <v>14915.4</v>
      </c>
      <c r="G367" s="60"/>
    </row>
    <row r="368" spans="1:8" ht="20.100000000000001" customHeight="1">
      <c r="A368" s="43"/>
      <c r="B368" s="48" t="s">
        <v>956</v>
      </c>
      <c r="C368" s="57"/>
      <c r="D368" s="47"/>
      <c r="E368" s="54"/>
      <c r="F368" s="98">
        <f>TRUNC(SUM(F367:F367),0)</f>
        <v>14915</v>
      </c>
      <c r="G368" s="56"/>
    </row>
    <row r="369" spans="1:8" ht="20.100000000000001" customHeight="1">
      <c r="A369" s="52" t="s">
        <v>958</v>
      </c>
      <c r="B369" s="47" t="s">
        <v>959</v>
      </c>
      <c r="C369" s="57">
        <v>0.4677</v>
      </c>
      <c r="D369" s="47"/>
      <c r="E369" s="54">
        <f>B362</f>
        <v>134850</v>
      </c>
      <c r="F369" s="55">
        <f>TRUNC(C369*E369,2)</f>
        <v>63069.34</v>
      </c>
      <c r="G369" s="56"/>
    </row>
    <row r="370" spans="1:8" ht="20.100000000000001" customHeight="1">
      <c r="A370" s="43"/>
      <c r="B370" s="48" t="s">
        <v>956</v>
      </c>
      <c r="C370" s="57"/>
      <c r="D370" s="47"/>
      <c r="E370" s="54"/>
      <c r="F370" s="98">
        <f>TRUNC(SUM(F369:F369),0)</f>
        <v>63069</v>
      </c>
      <c r="G370" s="56"/>
    </row>
    <row r="371" spans="1:8" ht="20.100000000000001" customHeight="1">
      <c r="A371" s="52"/>
      <c r="B371" s="47"/>
      <c r="C371" s="61"/>
      <c r="D371" s="47"/>
      <c r="E371" s="62"/>
      <c r="F371" s="55"/>
      <c r="G371" s="56"/>
    </row>
    <row r="372" spans="1:8" ht="20.100000000000001" customHeight="1">
      <c r="A372" s="43"/>
      <c r="B372" s="68"/>
      <c r="C372" s="69"/>
      <c r="D372" s="63"/>
      <c r="E372" s="70"/>
      <c r="F372" s="66"/>
      <c r="G372" s="67"/>
    </row>
    <row r="373" spans="1:8" ht="20.100000000000001" customHeight="1">
      <c r="A373" s="43"/>
      <c r="B373" s="63"/>
      <c r="C373" s="69"/>
      <c r="D373" s="63"/>
      <c r="E373" s="70"/>
      <c r="F373" s="66"/>
      <c r="G373" s="67"/>
    </row>
    <row r="374" spans="1:8" ht="20.100000000000001" customHeight="1">
      <c r="A374" s="71" t="s">
        <v>960</v>
      </c>
      <c r="B374" s="72"/>
      <c r="C374" s="73"/>
      <c r="D374" s="74"/>
      <c r="E374" s="75"/>
      <c r="F374" s="100">
        <f>F366+F368+F370</f>
        <v>86316</v>
      </c>
      <c r="G374" s="76"/>
    </row>
    <row r="375" spans="1:8" s="30" customFormat="1" ht="20.100000000000001" customHeight="1">
      <c r="A375" s="45"/>
      <c r="B375" s="77"/>
      <c r="C375" s="78"/>
      <c r="D375" s="45"/>
      <c r="E375" s="23"/>
      <c r="F375" s="81"/>
      <c r="G375" s="79"/>
      <c r="H375" s="19"/>
    </row>
    <row r="376" spans="1:8" ht="20.100000000000001" customHeight="1">
      <c r="A376" s="206"/>
      <c r="B376" s="77"/>
      <c r="C376" s="78"/>
      <c r="D376" s="45"/>
      <c r="F376" s="81"/>
      <c r="G376" s="79"/>
    </row>
    <row r="377" spans="1:8" s="94" customFormat="1" ht="20.100000000000001" customHeight="1">
      <c r="A377" s="87" t="s">
        <v>944</v>
      </c>
      <c r="B377" s="88" t="s">
        <v>1626</v>
      </c>
      <c r="C377" s="89"/>
      <c r="D377" s="90"/>
      <c r="E377" s="91"/>
      <c r="F377" s="96"/>
      <c r="G377" s="92"/>
      <c r="H377" s="93"/>
    </row>
    <row r="378" spans="1:8" ht="20.100000000000001" customHeight="1">
      <c r="A378" s="43" t="s">
        <v>945</v>
      </c>
      <c r="B378" s="44">
        <v>230</v>
      </c>
      <c r="C378" s="30" t="s">
        <v>946</v>
      </c>
      <c r="D378" s="565"/>
      <c r="F378" s="30"/>
      <c r="G378" s="33"/>
    </row>
    <row r="379" spans="1:8" ht="20.100000000000001" customHeight="1">
      <c r="A379" s="46" t="s">
        <v>947</v>
      </c>
      <c r="B379" s="47" t="s">
        <v>948</v>
      </c>
      <c r="C379" s="47" t="s">
        <v>949</v>
      </c>
      <c r="D379" s="48" t="s">
        <v>950</v>
      </c>
      <c r="E379" s="49" t="s">
        <v>927</v>
      </c>
      <c r="F379" s="47" t="s">
        <v>951</v>
      </c>
      <c r="G379" s="50" t="s">
        <v>952</v>
      </c>
    </row>
    <row r="380" spans="1:8" ht="20.100000000000001" customHeight="1">
      <c r="A380" s="52" t="s">
        <v>819</v>
      </c>
      <c r="B380" s="47" t="s">
        <v>953</v>
      </c>
      <c r="C380" s="53"/>
      <c r="D380" s="47" t="s">
        <v>987</v>
      </c>
      <c r="E380" s="54"/>
      <c r="F380" s="55">
        <f>TRUNC(C380*E380,2)</f>
        <v>0</v>
      </c>
      <c r="G380" s="56"/>
    </row>
    <row r="381" spans="1:8" ht="20.100000000000001" customHeight="1">
      <c r="A381" s="43"/>
      <c r="B381" s="48" t="s">
        <v>954</v>
      </c>
      <c r="C381" s="57"/>
      <c r="D381" s="47" t="s">
        <v>955</v>
      </c>
      <c r="E381" s="58"/>
      <c r="F381" s="59">
        <f>TRUNC(F380*C381%,2)</f>
        <v>0</v>
      </c>
      <c r="G381" s="56"/>
    </row>
    <row r="382" spans="1:8" ht="20.100000000000001" customHeight="1">
      <c r="A382" s="43"/>
      <c r="B382" s="47" t="s">
        <v>956</v>
      </c>
      <c r="C382" s="57"/>
      <c r="D382" s="48"/>
      <c r="E382" s="58"/>
      <c r="F382" s="99">
        <f>TRUNC(SUM(F380:F381),0)</f>
        <v>0</v>
      </c>
      <c r="G382" s="60"/>
    </row>
    <row r="383" spans="1:8" ht="20.100000000000001" customHeight="1">
      <c r="A383" s="52" t="s">
        <v>818</v>
      </c>
      <c r="B383" s="47" t="s">
        <v>957</v>
      </c>
      <c r="C383" s="53"/>
      <c r="D383" s="47" t="s">
        <v>820</v>
      </c>
      <c r="E383" s="54">
        <f>F31</f>
        <v>0</v>
      </c>
      <c r="F383" s="55">
        <f>TRUNC(C383*E383,2)</f>
        <v>0</v>
      </c>
      <c r="G383" s="60"/>
    </row>
    <row r="384" spans="1:8" ht="20.100000000000001" customHeight="1">
      <c r="A384" s="43"/>
      <c r="B384" s="48" t="s">
        <v>956</v>
      </c>
      <c r="C384" s="57"/>
      <c r="D384" s="47"/>
      <c r="E384" s="54"/>
      <c r="F384" s="98">
        <f>TRUNC(SUM(F383:F383),0)</f>
        <v>0</v>
      </c>
      <c r="G384" s="56"/>
    </row>
    <row r="385" spans="1:8" ht="20.100000000000001" customHeight="1">
      <c r="A385" s="52" t="s">
        <v>958</v>
      </c>
      <c r="B385" s="47" t="s">
        <v>959</v>
      </c>
      <c r="C385" s="57">
        <v>0.33750000000000002</v>
      </c>
      <c r="D385" s="47"/>
      <c r="E385" s="54">
        <f>B378</f>
        <v>230</v>
      </c>
      <c r="F385" s="55">
        <f>TRUNC(C385*E385,2)</f>
        <v>77.62</v>
      </c>
      <c r="G385" s="56"/>
    </row>
    <row r="386" spans="1:8" ht="20.100000000000001" customHeight="1">
      <c r="A386" s="43"/>
      <c r="B386" s="48" t="s">
        <v>956</v>
      </c>
      <c r="C386" s="57"/>
      <c r="D386" s="47"/>
      <c r="E386" s="54"/>
      <c r="F386" s="98">
        <f>TRUNC(SUM(F385:F385),0)</f>
        <v>77</v>
      </c>
      <c r="G386" s="56"/>
    </row>
    <row r="387" spans="1:8" ht="20.100000000000001" customHeight="1">
      <c r="A387" s="52"/>
      <c r="B387" s="47"/>
      <c r="C387" s="61"/>
      <c r="D387" s="47"/>
      <c r="E387" s="62"/>
      <c r="F387" s="55"/>
      <c r="G387" s="56"/>
    </row>
    <row r="388" spans="1:8" ht="20.100000000000001" customHeight="1">
      <c r="A388" s="43"/>
      <c r="B388" s="68"/>
      <c r="C388" s="69"/>
      <c r="D388" s="63"/>
      <c r="E388" s="70"/>
      <c r="F388" s="66"/>
      <c r="G388" s="67"/>
    </row>
    <row r="389" spans="1:8" ht="20.100000000000001" customHeight="1">
      <c r="A389" s="43"/>
      <c r="B389" s="63"/>
      <c r="C389" s="69"/>
      <c r="D389" s="63"/>
      <c r="E389" s="70"/>
      <c r="F389" s="66"/>
      <c r="G389" s="67"/>
    </row>
    <row r="390" spans="1:8" ht="20.100000000000001" customHeight="1">
      <c r="A390" s="71" t="s">
        <v>960</v>
      </c>
      <c r="B390" s="72"/>
      <c r="C390" s="73"/>
      <c r="D390" s="74"/>
      <c r="E390" s="75"/>
      <c r="F390" s="100">
        <f>F382+F384+F386</f>
        <v>77</v>
      </c>
      <c r="G390" s="76"/>
    </row>
    <row r="391" spans="1:8" s="30" customFormat="1" ht="20.100000000000001" customHeight="1">
      <c r="A391" s="45"/>
      <c r="B391" s="77"/>
      <c r="C391" s="78"/>
      <c r="D391" s="45"/>
      <c r="E391" s="23"/>
      <c r="F391" s="81"/>
      <c r="G391" s="79"/>
      <c r="H391" s="19"/>
    </row>
    <row r="392" spans="1:8" ht="20.100000000000001" customHeight="1">
      <c r="A392" s="206"/>
      <c r="B392" s="77"/>
      <c r="C392" s="78"/>
      <c r="D392" s="45"/>
      <c r="F392" s="81"/>
      <c r="G392" s="79"/>
    </row>
    <row r="393" spans="1:8" s="94" customFormat="1" ht="20.100000000000001" customHeight="1">
      <c r="A393" s="87" t="s">
        <v>944</v>
      </c>
      <c r="B393" s="88" t="s">
        <v>1633</v>
      </c>
      <c r="C393" s="89"/>
      <c r="D393" s="90"/>
      <c r="E393" s="91"/>
      <c r="F393" s="96"/>
      <c r="G393" s="92"/>
      <c r="H393" s="93"/>
    </row>
    <row r="394" spans="1:8" ht="20.100000000000001" customHeight="1">
      <c r="A394" s="43" t="s">
        <v>945</v>
      </c>
      <c r="B394" s="44">
        <v>32107</v>
      </c>
      <c r="C394" s="30" t="s">
        <v>946</v>
      </c>
      <c r="D394" s="565"/>
      <c r="F394" s="30"/>
      <c r="G394" s="33"/>
    </row>
    <row r="395" spans="1:8" ht="20.100000000000001" customHeight="1">
      <c r="A395" s="46" t="s">
        <v>947</v>
      </c>
      <c r="B395" s="47" t="s">
        <v>948</v>
      </c>
      <c r="C395" s="47" t="s">
        <v>949</v>
      </c>
      <c r="D395" s="48" t="s">
        <v>950</v>
      </c>
      <c r="E395" s="49" t="s">
        <v>927</v>
      </c>
      <c r="F395" s="47" t="s">
        <v>951</v>
      </c>
      <c r="G395" s="50" t="s">
        <v>952</v>
      </c>
    </row>
    <row r="396" spans="1:8" ht="20.100000000000001" customHeight="1">
      <c r="A396" s="52" t="s">
        <v>819</v>
      </c>
      <c r="B396" s="47" t="s">
        <v>953</v>
      </c>
      <c r="C396" s="53">
        <v>3.1</v>
      </c>
      <c r="D396" s="47" t="s">
        <v>987</v>
      </c>
      <c r="E396" s="54">
        <f>C10</f>
        <v>1085</v>
      </c>
      <c r="F396" s="55">
        <f>TRUNC(C396*E396,2)</f>
        <v>3363.5</v>
      </c>
      <c r="G396" s="56"/>
    </row>
    <row r="397" spans="1:8" ht="20.100000000000001" customHeight="1">
      <c r="A397" s="43"/>
      <c r="B397" s="48" t="s">
        <v>954</v>
      </c>
      <c r="C397" s="57">
        <v>20</v>
      </c>
      <c r="D397" s="47" t="s">
        <v>955</v>
      </c>
      <c r="E397" s="58"/>
      <c r="F397" s="59">
        <f>TRUNC(F396*C397%,2)</f>
        <v>672.7</v>
      </c>
      <c r="G397" s="56"/>
    </row>
    <row r="398" spans="1:8" ht="20.100000000000001" customHeight="1">
      <c r="A398" s="43"/>
      <c r="B398" s="47" t="s">
        <v>956</v>
      </c>
      <c r="C398" s="57"/>
      <c r="D398" s="48"/>
      <c r="E398" s="58"/>
      <c r="F398" s="99">
        <f>TRUNC(SUM(F396:F397),0)</f>
        <v>4036</v>
      </c>
      <c r="G398" s="60"/>
    </row>
    <row r="399" spans="1:8" ht="20.100000000000001" customHeight="1">
      <c r="A399" s="52" t="s">
        <v>818</v>
      </c>
      <c r="B399" s="47" t="s">
        <v>957</v>
      </c>
      <c r="C399" s="53">
        <v>1</v>
      </c>
      <c r="D399" s="47" t="s">
        <v>820</v>
      </c>
      <c r="E399" s="54">
        <f>F14</f>
        <v>17696.2</v>
      </c>
      <c r="F399" s="55">
        <f>TRUNC(C399*E399,2)</f>
        <v>17696.2</v>
      </c>
      <c r="G399" s="60" t="s">
        <v>1034</v>
      </c>
    </row>
    <row r="400" spans="1:8" ht="20.100000000000001" customHeight="1">
      <c r="A400" s="43"/>
      <c r="B400" s="48" t="s">
        <v>956</v>
      </c>
      <c r="C400" s="57"/>
      <c r="D400" s="47"/>
      <c r="E400" s="54"/>
      <c r="F400" s="98">
        <f>TRUNC(SUM(F399:F399),0)</f>
        <v>17696</v>
      </c>
      <c r="G400" s="56"/>
    </row>
    <row r="401" spans="1:8" ht="20.100000000000001" customHeight="1">
      <c r="A401" s="52" t="s">
        <v>958</v>
      </c>
      <c r="B401" s="47" t="s">
        <v>959</v>
      </c>
      <c r="C401" s="57">
        <v>0.25030000000000002</v>
      </c>
      <c r="D401" s="47"/>
      <c r="E401" s="54">
        <f>B394</f>
        <v>32107</v>
      </c>
      <c r="F401" s="55">
        <f>TRUNC(C401*E401,2)</f>
        <v>8036.38</v>
      </c>
      <c r="G401" s="56"/>
    </row>
    <row r="402" spans="1:8" ht="20.100000000000001" customHeight="1">
      <c r="A402" s="43"/>
      <c r="B402" s="48" t="s">
        <v>956</v>
      </c>
      <c r="C402" s="57"/>
      <c r="D402" s="47"/>
      <c r="E402" s="54"/>
      <c r="F402" s="98">
        <f>TRUNC(SUM(F401:F401),0)</f>
        <v>8036</v>
      </c>
      <c r="G402" s="56"/>
    </row>
    <row r="403" spans="1:8" ht="20.100000000000001" customHeight="1">
      <c r="A403" s="52"/>
      <c r="B403" s="47"/>
      <c r="C403" s="61"/>
      <c r="D403" s="47"/>
      <c r="E403" s="62"/>
      <c r="F403" s="55"/>
      <c r="G403" s="56"/>
    </row>
    <row r="404" spans="1:8" ht="20.100000000000001" customHeight="1">
      <c r="A404" s="43"/>
      <c r="B404" s="68"/>
      <c r="C404" s="69"/>
      <c r="D404" s="63"/>
      <c r="E404" s="70"/>
      <c r="F404" s="66"/>
      <c r="G404" s="67"/>
    </row>
    <row r="405" spans="1:8" ht="20.100000000000001" customHeight="1">
      <c r="A405" s="43"/>
      <c r="B405" s="63"/>
      <c r="C405" s="69"/>
      <c r="D405" s="63"/>
      <c r="E405" s="70"/>
      <c r="F405" s="66"/>
      <c r="G405" s="67"/>
    </row>
    <row r="406" spans="1:8" ht="20.100000000000001" customHeight="1">
      <c r="A406" s="71" t="s">
        <v>960</v>
      </c>
      <c r="B406" s="72"/>
      <c r="C406" s="73"/>
      <c r="D406" s="74"/>
      <c r="E406" s="75"/>
      <c r="F406" s="100">
        <f>F398+F400+F402</f>
        <v>29768</v>
      </c>
      <c r="G406" s="76"/>
    </row>
    <row r="407" spans="1:8" s="30" customFormat="1" ht="20.100000000000001" customHeight="1">
      <c r="A407" s="45"/>
      <c r="B407" s="77"/>
      <c r="C407" s="78"/>
      <c r="D407" s="45"/>
      <c r="E407" s="23"/>
      <c r="F407" s="81"/>
      <c r="G407" s="79"/>
      <c r="H407" s="19"/>
    </row>
    <row r="408" spans="1:8" ht="20.100000000000001" customHeight="1">
      <c r="A408" s="206"/>
      <c r="B408" s="77"/>
      <c r="C408" s="78"/>
      <c r="D408" s="45"/>
      <c r="F408" s="81"/>
      <c r="G408" s="79"/>
    </row>
    <row r="409" spans="1:8" s="94" customFormat="1" ht="20.100000000000001" customHeight="1">
      <c r="A409" s="87" t="s">
        <v>944</v>
      </c>
      <c r="B409" s="96" t="s">
        <v>1639</v>
      </c>
      <c r="C409" s="89"/>
      <c r="D409" s="90"/>
      <c r="E409" s="91"/>
      <c r="F409" s="96"/>
      <c r="G409" s="92"/>
      <c r="H409" s="93"/>
    </row>
    <row r="410" spans="1:8" ht="19.5" customHeight="1">
      <c r="A410" s="43" t="s">
        <v>945</v>
      </c>
      <c r="B410" s="44">
        <f>INT(D410*C6/1000)</f>
        <v>13666</v>
      </c>
      <c r="C410" s="30" t="s">
        <v>946</v>
      </c>
      <c r="D410" s="565">
        <v>10868</v>
      </c>
      <c r="F410" s="30"/>
      <c r="G410" s="33"/>
    </row>
    <row r="411" spans="1:8" ht="20.100000000000001" customHeight="1">
      <c r="A411" s="46" t="s">
        <v>947</v>
      </c>
      <c r="B411" s="47" t="s">
        <v>948</v>
      </c>
      <c r="C411" s="47" t="s">
        <v>949</v>
      </c>
      <c r="D411" s="48" t="s">
        <v>950</v>
      </c>
      <c r="E411" s="49" t="s">
        <v>927</v>
      </c>
      <c r="F411" s="47" t="s">
        <v>951</v>
      </c>
      <c r="G411" s="50" t="s">
        <v>952</v>
      </c>
    </row>
    <row r="412" spans="1:8" ht="20.100000000000001" customHeight="1">
      <c r="A412" s="52" t="s">
        <v>819</v>
      </c>
      <c r="B412" s="47" t="s">
        <v>953</v>
      </c>
      <c r="C412" s="53">
        <v>2</v>
      </c>
      <c r="D412" s="47" t="s">
        <v>987</v>
      </c>
      <c r="E412" s="54">
        <f>C9</f>
        <v>1114</v>
      </c>
      <c r="F412" s="55">
        <f>TRUNC(C412*E412,2)</f>
        <v>2228</v>
      </c>
      <c r="G412" s="56" t="s">
        <v>1604</v>
      </c>
    </row>
    <row r="413" spans="1:8" ht="20.100000000000001" customHeight="1">
      <c r="A413" s="43"/>
      <c r="B413" s="48" t="s">
        <v>954</v>
      </c>
      <c r="C413" s="57">
        <v>2</v>
      </c>
      <c r="D413" s="47" t="s">
        <v>955</v>
      </c>
      <c r="E413" s="58"/>
      <c r="F413" s="59">
        <f>TRUNC(F412*C413%,2)</f>
        <v>44.56</v>
      </c>
      <c r="G413" s="56"/>
    </row>
    <row r="414" spans="1:8" ht="20.100000000000001" customHeight="1">
      <c r="A414" s="43"/>
      <c r="B414" s="47" t="s">
        <v>956</v>
      </c>
      <c r="C414" s="57"/>
      <c r="D414" s="48"/>
      <c r="E414" s="58"/>
      <c r="F414" s="99">
        <f>TRUNC(SUM(F412:F413),0)</f>
        <v>2272</v>
      </c>
      <c r="G414" s="60"/>
    </row>
    <row r="415" spans="1:8" ht="20.100000000000001" customHeight="1">
      <c r="A415" s="52" t="s">
        <v>818</v>
      </c>
      <c r="B415" s="47" t="s">
        <v>957</v>
      </c>
      <c r="C415" s="53">
        <v>1</v>
      </c>
      <c r="D415" s="47" t="s">
        <v>820</v>
      </c>
      <c r="E415" s="54">
        <f>F15</f>
        <v>14915.4</v>
      </c>
      <c r="F415" s="55">
        <f>TRUNC(C415*E415,2)</f>
        <v>14915.4</v>
      </c>
      <c r="G415" s="60" t="s">
        <v>1634</v>
      </c>
    </row>
    <row r="416" spans="1:8" ht="20.100000000000001" customHeight="1">
      <c r="A416" s="43"/>
      <c r="B416" s="48" t="s">
        <v>956</v>
      </c>
      <c r="C416" s="57"/>
      <c r="D416" s="47"/>
      <c r="E416" s="54"/>
      <c r="F416" s="98">
        <f>TRUNC(SUM(F415:F415),0)</f>
        <v>14915</v>
      </c>
      <c r="G416" s="56"/>
    </row>
    <row r="417" spans="1:8" ht="20.100000000000001" customHeight="1">
      <c r="A417" s="52" t="s">
        <v>958</v>
      </c>
      <c r="B417" s="47" t="s">
        <v>959</v>
      </c>
      <c r="C417" s="57">
        <v>0.29709999999999998</v>
      </c>
      <c r="D417" s="47"/>
      <c r="E417" s="54">
        <f>B410</f>
        <v>13666</v>
      </c>
      <c r="F417" s="55">
        <f>TRUNC(C417*E417,2)</f>
        <v>4060.16</v>
      </c>
      <c r="G417" s="56"/>
    </row>
    <row r="418" spans="1:8" ht="20.100000000000001" customHeight="1">
      <c r="A418" s="43"/>
      <c r="B418" s="48" t="s">
        <v>956</v>
      </c>
      <c r="C418" s="57"/>
      <c r="D418" s="47"/>
      <c r="E418" s="54"/>
      <c r="F418" s="98">
        <f>TRUNC(SUM(F417:F417),0)</f>
        <v>4060</v>
      </c>
      <c r="G418" s="56"/>
    </row>
    <row r="419" spans="1:8" ht="20.100000000000001" customHeight="1">
      <c r="A419" s="52"/>
      <c r="B419" s="47"/>
      <c r="C419" s="61"/>
      <c r="D419" s="47"/>
      <c r="E419" s="62"/>
      <c r="F419" s="55"/>
      <c r="G419" s="56"/>
    </row>
    <row r="420" spans="1:8" ht="20.100000000000001" customHeight="1">
      <c r="A420" s="43"/>
      <c r="B420" s="63"/>
      <c r="C420" s="64"/>
      <c r="D420" s="63"/>
      <c r="E420" s="65"/>
      <c r="F420" s="66"/>
      <c r="G420" s="67"/>
    </row>
    <row r="421" spans="1:8" ht="20.100000000000001" customHeight="1">
      <c r="A421" s="43"/>
      <c r="B421" s="63"/>
      <c r="C421" s="69"/>
      <c r="D421" s="63"/>
      <c r="E421" s="70"/>
      <c r="F421" s="66"/>
      <c r="G421" s="67"/>
    </row>
    <row r="422" spans="1:8" ht="20.100000000000001" customHeight="1">
      <c r="A422" s="71" t="s">
        <v>960</v>
      </c>
      <c r="B422" s="72"/>
      <c r="C422" s="73"/>
      <c r="D422" s="74"/>
      <c r="E422" s="75"/>
      <c r="F422" s="100">
        <f>F414+F416+F418</f>
        <v>21247</v>
      </c>
      <c r="G422" s="76"/>
    </row>
    <row r="423" spans="1:8" s="30" customFormat="1" ht="20.100000000000001" customHeight="1">
      <c r="A423" s="45"/>
      <c r="B423" s="77"/>
      <c r="C423" s="78"/>
      <c r="D423" s="45"/>
      <c r="E423" s="23"/>
      <c r="F423" s="81"/>
      <c r="G423" s="79"/>
      <c r="H423" s="19"/>
    </row>
    <row r="424" spans="1:8" ht="20.100000000000001" customHeight="1">
      <c r="A424" s="206"/>
      <c r="B424" s="77"/>
      <c r="C424" s="78"/>
      <c r="D424" s="45"/>
      <c r="F424" s="81"/>
      <c r="G424" s="79"/>
    </row>
    <row r="425" spans="1:8" s="94" customFormat="1" ht="20.100000000000001" customHeight="1">
      <c r="A425" s="87" t="s">
        <v>944</v>
      </c>
      <c r="B425" s="88" t="s">
        <v>1635</v>
      </c>
      <c r="C425" s="89"/>
      <c r="D425" s="90"/>
      <c r="E425" s="91"/>
      <c r="F425" s="96"/>
      <c r="G425" s="92"/>
      <c r="H425" s="93"/>
    </row>
    <row r="426" spans="1:8" ht="20.100000000000001" customHeight="1">
      <c r="A426" s="43" t="s">
        <v>945</v>
      </c>
      <c r="B426" s="44">
        <v>37246</v>
      </c>
      <c r="C426" s="30" t="s">
        <v>946</v>
      </c>
      <c r="D426" s="565"/>
      <c r="F426" s="30"/>
      <c r="G426" s="33"/>
    </row>
    <row r="427" spans="1:8" ht="20.100000000000001" customHeight="1">
      <c r="A427" s="46" t="s">
        <v>947</v>
      </c>
      <c r="B427" s="47" t="s">
        <v>948</v>
      </c>
      <c r="C427" s="47" t="s">
        <v>949</v>
      </c>
      <c r="D427" s="48" t="s">
        <v>950</v>
      </c>
      <c r="E427" s="49" t="s">
        <v>927</v>
      </c>
      <c r="F427" s="47" t="s">
        <v>951</v>
      </c>
      <c r="G427" s="50" t="s">
        <v>952</v>
      </c>
    </row>
    <row r="428" spans="1:8" ht="20.100000000000001" customHeight="1">
      <c r="A428" s="52" t="s">
        <v>819</v>
      </c>
      <c r="B428" s="47" t="s">
        <v>953</v>
      </c>
      <c r="C428" s="53"/>
      <c r="D428" s="47" t="s">
        <v>987</v>
      </c>
      <c r="E428" s="54"/>
      <c r="F428" s="55">
        <f>TRUNC(C428*E428,2)</f>
        <v>0</v>
      </c>
      <c r="G428" s="56"/>
    </row>
    <row r="429" spans="1:8" ht="20.100000000000001" customHeight="1">
      <c r="A429" s="43"/>
      <c r="B429" s="48" t="s">
        <v>954</v>
      </c>
      <c r="C429" s="57"/>
      <c r="D429" s="47" t="s">
        <v>955</v>
      </c>
      <c r="E429" s="58"/>
      <c r="F429" s="59">
        <f>TRUNC(F428*C429%,2)</f>
        <v>0</v>
      </c>
      <c r="G429" s="56"/>
    </row>
    <row r="430" spans="1:8" ht="20.100000000000001" customHeight="1">
      <c r="A430" s="43"/>
      <c r="B430" s="47" t="s">
        <v>956</v>
      </c>
      <c r="C430" s="57"/>
      <c r="D430" s="48"/>
      <c r="E430" s="58"/>
      <c r="F430" s="99">
        <f>TRUNC(SUM(F428:F429),0)</f>
        <v>0</v>
      </c>
      <c r="G430" s="60"/>
    </row>
    <row r="431" spans="1:8" ht="20.100000000000001" customHeight="1">
      <c r="A431" s="52" t="s">
        <v>818</v>
      </c>
      <c r="B431" s="47" t="s">
        <v>957</v>
      </c>
      <c r="C431" s="53"/>
      <c r="D431" s="47" t="s">
        <v>820</v>
      </c>
      <c r="E431" s="54">
        <f>F31</f>
        <v>0</v>
      </c>
      <c r="F431" s="55">
        <f>TRUNC(C431*E431,2)</f>
        <v>0</v>
      </c>
      <c r="G431" s="60"/>
    </row>
    <row r="432" spans="1:8" ht="20.100000000000001" customHeight="1">
      <c r="A432" s="43"/>
      <c r="B432" s="48" t="s">
        <v>956</v>
      </c>
      <c r="C432" s="57"/>
      <c r="D432" s="47"/>
      <c r="E432" s="54"/>
      <c r="F432" s="98">
        <f>TRUNC(SUM(F431:F431),0)</f>
        <v>0</v>
      </c>
      <c r="G432" s="56"/>
    </row>
    <row r="433" spans="1:8" ht="20.100000000000001" customHeight="1">
      <c r="A433" s="52" t="s">
        <v>958</v>
      </c>
      <c r="B433" s="47" t="s">
        <v>959</v>
      </c>
      <c r="C433" s="57">
        <v>0.42880000000000001</v>
      </c>
      <c r="D433" s="47"/>
      <c r="E433" s="54">
        <f>B426</f>
        <v>37246</v>
      </c>
      <c r="F433" s="55">
        <f>TRUNC(C433*E433,2)</f>
        <v>15971.08</v>
      </c>
      <c r="G433" s="56"/>
    </row>
    <row r="434" spans="1:8" ht="20.100000000000001" customHeight="1">
      <c r="A434" s="43"/>
      <c r="B434" s="48" t="s">
        <v>956</v>
      </c>
      <c r="C434" s="57"/>
      <c r="D434" s="47"/>
      <c r="E434" s="54"/>
      <c r="F434" s="98">
        <f>TRUNC(SUM(F433:F433),0)</f>
        <v>15971</v>
      </c>
      <c r="G434" s="56"/>
    </row>
    <row r="435" spans="1:8" ht="20.100000000000001" customHeight="1">
      <c r="A435" s="52"/>
      <c r="B435" s="47"/>
      <c r="C435" s="61"/>
      <c r="D435" s="47"/>
      <c r="E435" s="62"/>
      <c r="F435" s="55"/>
      <c r="G435" s="56"/>
    </row>
    <row r="436" spans="1:8" ht="20.100000000000001" customHeight="1">
      <c r="A436" s="43"/>
      <c r="B436" s="63"/>
      <c r="C436" s="64"/>
      <c r="D436" s="63"/>
      <c r="E436" s="65"/>
      <c r="F436" s="66"/>
      <c r="G436" s="67"/>
    </row>
    <row r="437" spans="1:8" ht="20.100000000000001" customHeight="1">
      <c r="A437" s="43"/>
      <c r="B437" s="63"/>
      <c r="C437" s="69"/>
      <c r="D437" s="63"/>
      <c r="E437" s="70"/>
      <c r="F437" s="66"/>
      <c r="G437" s="67"/>
    </row>
    <row r="438" spans="1:8" ht="20.100000000000001" customHeight="1">
      <c r="A438" s="71" t="s">
        <v>960</v>
      </c>
      <c r="B438" s="72"/>
      <c r="C438" s="73"/>
      <c r="D438" s="74"/>
      <c r="E438" s="75"/>
      <c r="F438" s="100">
        <f>F430+F432+F434</f>
        <v>15971</v>
      </c>
      <c r="G438" s="76"/>
    </row>
    <row r="439" spans="1:8" s="30" customFormat="1" ht="20.100000000000001" customHeight="1">
      <c r="A439" s="45"/>
      <c r="B439" s="77"/>
      <c r="C439" s="78"/>
      <c r="D439" s="45"/>
      <c r="E439" s="23"/>
      <c r="F439" s="81"/>
      <c r="G439" s="79"/>
      <c r="H439" s="19"/>
    </row>
    <row r="440" spans="1:8" ht="20.100000000000001" customHeight="1">
      <c r="A440" s="206"/>
      <c r="B440" s="77"/>
      <c r="C440" s="78"/>
      <c r="D440" s="45"/>
      <c r="F440" s="81"/>
      <c r="G440" s="79"/>
    </row>
    <row r="441" spans="1:8" s="94" customFormat="1" ht="20.100000000000001" customHeight="1">
      <c r="A441" s="87" t="s">
        <v>944</v>
      </c>
      <c r="B441" s="88" t="s">
        <v>1636</v>
      </c>
      <c r="C441" s="89"/>
      <c r="D441" s="90"/>
      <c r="E441" s="91"/>
      <c r="F441" s="96"/>
      <c r="G441" s="92"/>
      <c r="H441" s="93"/>
    </row>
    <row r="442" spans="1:8" ht="19.5" customHeight="1">
      <c r="A442" s="43" t="s">
        <v>945</v>
      </c>
      <c r="B442" s="44">
        <f>INT(D442*C6/1000)</f>
        <v>73727</v>
      </c>
      <c r="C442" s="30" t="s">
        <v>946</v>
      </c>
      <c r="D442" s="565">
        <v>58630</v>
      </c>
      <c r="F442" s="30"/>
      <c r="G442" s="33"/>
    </row>
    <row r="443" spans="1:8" ht="20.100000000000001" customHeight="1">
      <c r="A443" s="46" t="s">
        <v>947</v>
      </c>
      <c r="B443" s="47" t="s">
        <v>948</v>
      </c>
      <c r="C443" s="47" t="s">
        <v>949</v>
      </c>
      <c r="D443" s="48" t="s">
        <v>950</v>
      </c>
      <c r="E443" s="49" t="s">
        <v>927</v>
      </c>
      <c r="F443" s="47" t="s">
        <v>951</v>
      </c>
      <c r="G443" s="50" t="s">
        <v>952</v>
      </c>
    </row>
    <row r="444" spans="1:8" ht="20.100000000000001" customHeight="1">
      <c r="A444" s="52" t="s">
        <v>819</v>
      </c>
      <c r="B444" s="47" t="s">
        <v>953</v>
      </c>
      <c r="C444" s="53"/>
      <c r="D444" s="47" t="s">
        <v>987</v>
      </c>
      <c r="E444" s="54">
        <f>C41</f>
        <v>0</v>
      </c>
      <c r="F444" s="55">
        <f>TRUNC(C444*E444,2)</f>
        <v>0</v>
      </c>
      <c r="G444" s="56"/>
    </row>
    <row r="445" spans="1:8" ht="20.100000000000001" customHeight="1">
      <c r="A445" s="43"/>
      <c r="B445" s="48" t="s">
        <v>954</v>
      </c>
      <c r="C445" s="57"/>
      <c r="D445" s="47" t="s">
        <v>955</v>
      </c>
      <c r="E445" s="58"/>
      <c r="F445" s="59">
        <f>TRUNC(F444*C445%,2)</f>
        <v>0</v>
      </c>
      <c r="G445" s="56"/>
    </row>
    <row r="446" spans="1:8" ht="20.100000000000001" customHeight="1">
      <c r="A446" s="43"/>
      <c r="B446" s="47" t="s">
        <v>956</v>
      </c>
      <c r="C446" s="57"/>
      <c r="D446" s="48"/>
      <c r="E446" s="58"/>
      <c r="F446" s="99">
        <f>TRUNC(SUM(F444:F445),0)</f>
        <v>0</v>
      </c>
      <c r="G446" s="60"/>
    </row>
    <row r="447" spans="1:8" ht="20.100000000000001" customHeight="1">
      <c r="A447" s="52" t="s">
        <v>818</v>
      </c>
      <c r="B447" s="47" t="s">
        <v>957</v>
      </c>
      <c r="C447" s="53"/>
      <c r="D447" s="47" t="s">
        <v>820</v>
      </c>
      <c r="E447" s="54"/>
      <c r="F447" s="55">
        <f>TRUNC(C447*E447,2)</f>
        <v>0</v>
      </c>
      <c r="G447" s="60"/>
    </row>
    <row r="448" spans="1:8" ht="20.100000000000001" customHeight="1">
      <c r="A448" s="43"/>
      <c r="B448" s="48" t="s">
        <v>956</v>
      </c>
      <c r="C448" s="57"/>
      <c r="D448" s="47"/>
      <c r="E448" s="54"/>
      <c r="F448" s="98">
        <f>TRUNC(SUM(F447:F447),0)</f>
        <v>0</v>
      </c>
      <c r="G448" s="56"/>
    </row>
    <row r="449" spans="1:7" ht="20.100000000000001" customHeight="1">
      <c r="A449" s="52" t="s">
        <v>958</v>
      </c>
      <c r="B449" s="47" t="s">
        <v>959</v>
      </c>
      <c r="C449" s="57">
        <v>0.29580000000000001</v>
      </c>
      <c r="D449" s="47"/>
      <c r="E449" s="54">
        <f>B442</f>
        <v>73727</v>
      </c>
      <c r="F449" s="55">
        <f>TRUNC(C449*E449,2)</f>
        <v>21808.44</v>
      </c>
      <c r="G449" s="56"/>
    </row>
    <row r="450" spans="1:7" ht="20.100000000000001" customHeight="1">
      <c r="A450" s="43"/>
      <c r="B450" s="48" t="s">
        <v>956</v>
      </c>
      <c r="C450" s="57"/>
      <c r="D450" s="47"/>
      <c r="E450" s="54"/>
      <c r="F450" s="98">
        <f>TRUNC(SUM(F449:F449),0)</f>
        <v>21808</v>
      </c>
      <c r="G450" s="56"/>
    </row>
    <row r="451" spans="1:7" ht="20.100000000000001" customHeight="1">
      <c r="A451" s="52"/>
      <c r="B451" s="47"/>
      <c r="C451" s="61"/>
      <c r="D451" s="47"/>
      <c r="E451" s="62"/>
      <c r="F451" s="55"/>
      <c r="G451" s="56"/>
    </row>
    <row r="452" spans="1:7" ht="20.100000000000001" customHeight="1">
      <c r="A452" s="43"/>
      <c r="B452" s="63"/>
      <c r="C452" s="64"/>
      <c r="D452" s="63"/>
      <c r="E452" s="65"/>
      <c r="F452" s="66"/>
      <c r="G452" s="67"/>
    </row>
    <row r="453" spans="1:7" ht="20.100000000000001" customHeight="1">
      <c r="A453" s="43"/>
      <c r="B453" s="63"/>
      <c r="C453" s="69"/>
      <c r="D453" s="63"/>
      <c r="E453" s="70"/>
      <c r="F453" s="66"/>
      <c r="G453" s="67"/>
    </row>
    <row r="454" spans="1:7" ht="20.100000000000001" customHeight="1">
      <c r="A454" s="71" t="s">
        <v>960</v>
      </c>
      <c r="B454" s="72"/>
      <c r="C454" s="73"/>
      <c r="D454" s="74"/>
      <c r="E454" s="75"/>
      <c r="F454" s="100">
        <f>F446+F448+F450</f>
        <v>21808</v>
      </c>
      <c r="G454" s="76"/>
    </row>
  </sheetData>
  <mergeCells count="1">
    <mergeCell ref="D122:E122"/>
  </mergeCells>
  <phoneticPr fontId="3" type="noConversion"/>
  <printOptions horizontalCentered="1"/>
  <pageMargins left="0.94488188976377963" right="0.74803149606299213" top="1.2598425196850394" bottom="1.299212598425197" header="0.51181102362204722" footer="0.51181102362204722"/>
  <pageSetup paperSize="9" orientation="portrait" horizontalDpi="300" verticalDpi="300" r:id="rId1"/>
  <headerFooter alignWithMargins="0">
    <oddFooter>&amp;R자연생태복원(JSB)공법
(주)  슈  펙  스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sheetPr codeName="Sheet11"/>
  <dimension ref="A1:H28"/>
  <sheetViews>
    <sheetView zoomScale="140" workbookViewId="0">
      <selection activeCell="D12" sqref="D12"/>
    </sheetView>
  </sheetViews>
  <sheetFormatPr defaultRowHeight="24.95" customHeight="1"/>
  <cols>
    <col min="1" max="1" width="7.21875" style="3" customWidth="1"/>
    <col min="2" max="2" width="19.109375" style="3" customWidth="1"/>
    <col min="3" max="3" width="5.88671875" style="3" customWidth="1"/>
    <col min="4" max="4" width="10.77734375" style="3" customWidth="1"/>
    <col min="5" max="5" width="5" style="3" customWidth="1"/>
    <col min="6" max="6" width="10.77734375" style="3" customWidth="1"/>
    <col min="7" max="7" width="15.33203125" style="3" customWidth="1"/>
    <col min="8" max="16384" width="8.88671875" style="3"/>
  </cols>
  <sheetData>
    <row r="1" spans="1:8" ht="24.95" customHeight="1">
      <c r="A1" s="209" t="s">
        <v>1378</v>
      </c>
    </row>
    <row r="2" spans="1:8" s="5" customFormat="1" ht="24.95" customHeight="1">
      <c r="A2" s="9" t="s">
        <v>930</v>
      </c>
      <c r="B2" s="9" t="s">
        <v>931</v>
      </c>
      <c r="C2" s="9" t="s">
        <v>929</v>
      </c>
      <c r="D2" s="9" t="s">
        <v>921</v>
      </c>
      <c r="E2" s="82" t="s">
        <v>920</v>
      </c>
      <c r="F2" s="9" t="s">
        <v>928</v>
      </c>
      <c r="G2" s="10" t="s">
        <v>922</v>
      </c>
      <c r="H2" s="6"/>
    </row>
    <row r="3" spans="1:8" s="5" customFormat="1" ht="24.95" customHeight="1">
      <c r="A3" s="9">
        <v>1</v>
      </c>
      <c r="B3" s="13" t="s">
        <v>969</v>
      </c>
      <c r="C3" s="7" t="s">
        <v>964</v>
      </c>
      <c r="D3" s="8">
        <v>79533</v>
      </c>
      <c r="E3" s="7">
        <v>0</v>
      </c>
      <c r="F3" s="271">
        <f>TRUNC(D3*(1+E3/100),0)</f>
        <v>79533</v>
      </c>
      <c r="G3" s="11"/>
      <c r="H3" s="6"/>
    </row>
    <row r="4" spans="1:8" s="5" customFormat="1" ht="24.95" customHeight="1">
      <c r="A4" s="9">
        <f>A3+1</f>
        <v>2</v>
      </c>
      <c r="B4" s="13" t="s">
        <v>970</v>
      </c>
      <c r="C4" s="7" t="s">
        <v>964</v>
      </c>
      <c r="D4" s="8">
        <v>92218</v>
      </c>
      <c r="E4" s="7">
        <v>0</v>
      </c>
      <c r="F4" s="271">
        <f t="shared" ref="F4:F12" si="0">TRUNC(D4*(1+E4/100),0)</f>
        <v>92218</v>
      </c>
      <c r="G4" s="11"/>
      <c r="H4" s="6"/>
    </row>
    <row r="5" spans="1:8" s="5" customFormat="1" ht="24.95" customHeight="1">
      <c r="A5" s="9">
        <f t="shared" ref="A5:A14" si="1">A4+1</f>
        <v>3</v>
      </c>
      <c r="B5" s="13" t="s">
        <v>967</v>
      </c>
      <c r="C5" s="7" t="s">
        <v>964</v>
      </c>
      <c r="D5" s="8">
        <v>84404</v>
      </c>
      <c r="E5" s="7">
        <v>0</v>
      </c>
      <c r="F5" s="271">
        <f t="shared" si="0"/>
        <v>84404</v>
      </c>
      <c r="G5" s="11"/>
      <c r="H5" s="6"/>
    </row>
    <row r="6" spans="1:8" s="5" customFormat="1" ht="24.95" customHeight="1">
      <c r="A6" s="9">
        <f t="shared" si="1"/>
        <v>4</v>
      </c>
      <c r="B6" s="13" t="s">
        <v>971</v>
      </c>
      <c r="C6" s="7" t="s">
        <v>964</v>
      </c>
      <c r="D6" s="8">
        <v>68965</v>
      </c>
      <c r="E6" s="7">
        <v>0</v>
      </c>
      <c r="F6" s="271">
        <f t="shared" si="0"/>
        <v>68965</v>
      </c>
      <c r="G6" s="11"/>
      <c r="H6" s="6"/>
    </row>
    <row r="7" spans="1:8" s="5" customFormat="1" ht="24.95" customHeight="1">
      <c r="A7" s="9">
        <f t="shared" si="1"/>
        <v>5</v>
      </c>
      <c r="B7" s="13" t="s">
        <v>972</v>
      </c>
      <c r="C7" s="7" t="s">
        <v>964</v>
      </c>
      <c r="D7" s="8">
        <v>98693</v>
      </c>
      <c r="E7" s="7">
        <v>0</v>
      </c>
      <c r="F7" s="271">
        <f t="shared" si="0"/>
        <v>98693</v>
      </c>
      <c r="G7" s="11"/>
      <c r="H7" s="6"/>
    </row>
    <row r="8" spans="1:8" s="5" customFormat="1" ht="24.95" customHeight="1">
      <c r="A8" s="9">
        <f t="shared" si="1"/>
        <v>6</v>
      </c>
      <c r="B8" s="13" t="s">
        <v>973</v>
      </c>
      <c r="C8" s="7" t="s">
        <v>964</v>
      </c>
      <c r="D8" s="8">
        <v>94350</v>
      </c>
      <c r="E8" s="7">
        <v>0</v>
      </c>
      <c r="F8" s="271">
        <f t="shared" si="0"/>
        <v>94350</v>
      </c>
      <c r="G8" s="11"/>
      <c r="H8" s="6"/>
    </row>
    <row r="9" spans="1:8" s="5" customFormat="1" ht="24.95" customHeight="1">
      <c r="A9" s="9">
        <f t="shared" si="1"/>
        <v>7</v>
      </c>
      <c r="B9" s="13" t="s">
        <v>974</v>
      </c>
      <c r="C9" s="7" t="s">
        <v>964</v>
      </c>
      <c r="D9" s="8">
        <v>84942</v>
      </c>
      <c r="E9" s="7">
        <v>0</v>
      </c>
      <c r="F9" s="271">
        <f t="shared" si="0"/>
        <v>84942</v>
      </c>
      <c r="G9" s="11"/>
      <c r="H9" s="6"/>
    </row>
    <row r="10" spans="1:8" s="5" customFormat="1" ht="24.95" customHeight="1">
      <c r="A10" s="9">
        <f t="shared" si="1"/>
        <v>8</v>
      </c>
      <c r="B10" s="13" t="s">
        <v>975</v>
      </c>
      <c r="C10" s="7" t="s">
        <v>964</v>
      </c>
      <c r="D10" s="8">
        <v>71594</v>
      </c>
      <c r="E10" s="7">
        <v>0</v>
      </c>
      <c r="F10" s="271">
        <f t="shared" si="0"/>
        <v>71594</v>
      </c>
      <c r="G10" s="11"/>
      <c r="H10" s="6"/>
    </row>
    <row r="11" spans="1:8" s="5" customFormat="1" ht="24.95" customHeight="1">
      <c r="A11" s="9">
        <f t="shared" si="1"/>
        <v>9</v>
      </c>
      <c r="B11" s="13" t="s">
        <v>966</v>
      </c>
      <c r="C11" s="7" t="s">
        <v>964</v>
      </c>
      <c r="D11" s="8">
        <v>55784</v>
      </c>
      <c r="E11" s="7">
        <v>0</v>
      </c>
      <c r="F11" s="271">
        <f t="shared" si="0"/>
        <v>55784</v>
      </c>
      <c r="G11" s="11"/>
      <c r="H11" s="6"/>
    </row>
    <row r="12" spans="1:8" s="5" customFormat="1" ht="24.95" customHeight="1">
      <c r="A12" s="9">
        <f t="shared" si="1"/>
        <v>10</v>
      </c>
      <c r="B12" s="13" t="s">
        <v>976</v>
      </c>
      <c r="C12" s="7" t="s">
        <v>964</v>
      </c>
      <c r="D12" s="8">
        <v>86521</v>
      </c>
      <c r="E12" s="7">
        <v>0</v>
      </c>
      <c r="F12" s="271">
        <f t="shared" si="0"/>
        <v>86521</v>
      </c>
      <c r="G12" s="11"/>
      <c r="H12" s="6"/>
    </row>
    <row r="13" spans="1:8" ht="24.95" customHeight="1">
      <c r="A13" s="9">
        <f t="shared" si="1"/>
        <v>11</v>
      </c>
      <c r="B13" s="13" t="s">
        <v>1220</v>
      </c>
      <c r="C13" s="7" t="s">
        <v>1221</v>
      </c>
      <c r="D13" s="8">
        <v>84090</v>
      </c>
      <c r="E13" s="7">
        <v>0</v>
      </c>
      <c r="F13" s="271">
        <f>TRUNC(D13*(1+E13/100),0)</f>
        <v>84090</v>
      </c>
      <c r="G13" s="12"/>
    </row>
    <row r="14" spans="1:8" ht="24.95" customHeight="1">
      <c r="A14" s="9">
        <f t="shared" si="1"/>
        <v>12</v>
      </c>
      <c r="B14" s="13" t="s">
        <v>1242</v>
      </c>
      <c r="C14" s="7" t="s">
        <v>964</v>
      </c>
      <c r="D14" s="8">
        <v>118515</v>
      </c>
      <c r="E14" s="7">
        <v>0</v>
      </c>
      <c r="F14" s="271">
        <f>TRUNC(D14*(1+E14/100),0)</f>
        <v>118515</v>
      </c>
      <c r="G14" s="12"/>
    </row>
    <row r="15" spans="1:8" ht="24.95" customHeight="1">
      <c r="A15" s="9"/>
      <c r="B15" s="13"/>
      <c r="C15" s="7"/>
      <c r="D15" s="8"/>
      <c r="E15" s="7"/>
      <c r="F15" s="8"/>
      <c r="G15" s="12"/>
    </row>
    <row r="16" spans="1:8" ht="24.95" customHeight="1">
      <c r="A16" s="9"/>
      <c r="B16" s="13"/>
      <c r="C16" s="7"/>
      <c r="D16" s="8"/>
      <c r="E16" s="7"/>
      <c r="F16" s="8"/>
      <c r="G16" s="12"/>
    </row>
    <row r="17" spans="1:7" ht="24.95" customHeight="1">
      <c r="A17" s="9"/>
      <c r="B17" s="13"/>
      <c r="C17" s="7"/>
      <c r="D17" s="8"/>
      <c r="E17" s="7"/>
      <c r="F17" s="8"/>
      <c r="G17" s="12"/>
    </row>
    <row r="18" spans="1:7" ht="24.95" customHeight="1">
      <c r="A18" s="9"/>
      <c r="B18" s="13"/>
      <c r="C18" s="7"/>
      <c r="D18" s="8"/>
      <c r="E18" s="7"/>
      <c r="F18" s="8"/>
      <c r="G18" s="12"/>
    </row>
    <row r="19" spans="1:7" ht="24.95" customHeight="1">
      <c r="A19" s="9"/>
      <c r="B19" s="13"/>
      <c r="C19" s="7"/>
      <c r="D19" s="8"/>
      <c r="E19" s="7"/>
      <c r="F19" s="8"/>
      <c r="G19" s="12"/>
    </row>
    <row r="20" spans="1:7" ht="24.95" customHeight="1">
      <c r="A20" s="9"/>
      <c r="B20" s="13"/>
      <c r="C20" s="7"/>
      <c r="D20" s="8"/>
      <c r="E20" s="7"/>
      <c r="F20" s="8"/>
      <c r="G20" s="12"/>
    </row>
    <row r="21" spans="1:7" ht="24.95" customHeight="1">
      <c r="A21" s="9"/>
      <c r="B21" s="13"/>
      <c r="C21" s="7"/>
      <c r="D21" s="8"/>
      <c r="E21" s="7"/>
      <c r="F21" s="8"/>
      <c r="G21" s="12"/>
    </row>
    <row r="22" spans="1:7" ht="24.95" customHeight="1">
      <c r="A22" s="9"/>
      <c r="B22" s="13"/>
      <c r="C22" s="7"/>
      <c r="D22" s="8"/>
      <c r="E22" s="7"/>
      <c r="F22" s="8"/>
      <c r="G22" s="12"/>
    </row>
    <row r="23" spans="1:7" ht="24.95" customHeight="1">
      <c r="A23" s="9"/>
      <c r="B23" s="13"/>
      <c r="C23" s="7"/>
      <c r="D23" s="8"/>
      <c r="E23" s="7"/>
      <c r="F23" s="8"/>
      <c r="G23" s="12"/>
    </row>
    <row r="24" spans="1:7" ht="24.95" customHeight="1">
      <c r="A24" s="9"/>
      <c r="B24" s="13"/>
      <c r="C24" s="7"/>
      <c r="D24" s="8"/>
      <c r="E24" s="7"/>
      <c r="F24" s="8"/>
      <c r="G24" s="12"/>
    </row>
    <row r="25" spans="1:7" ht="24.95" customHeight="1">
      <c r="A25" s="9"/>
      <c r="B25" s="13"/>
      <c r="C25" s="7"/>
      <c r="D25" s="8"/>
      <c r="E25" s="7"/>
      <c r="F25" s="8"/>
      <c r="G25" s="12"/>
    </row>
    <row r="26" spans="1:7" ht="24.95" customHeight="1">
      <c r="A26" s="9"/>
      <c r="B26" s="13"/>
      <c r="C26" s="7"/>
      <c r="D26" s="8"/>
      <c r="E26" s="7"/>
      <c r="F26" s="8"/>
      <c r="G26" s="12"/>
    </row>
    <row r="27" spans="1:7" ht="24.95" customHeight="1">
      <c r="A27" s="9"/>
      <c r="B27" s="13"/>
      <c r="C27" s="7"/>
      <c r="D27" s="8"/>
      <c r="E27" s="7"/>
      <c r="F27" s="8"/>
      <c r="G27" s="12"/>
    </row>
    <row r="28" spans="1:7" ht="24.95" customHeight="1">
      <c r="A28" s="12"/>
      <c r="B28" s="12"/>
      <c r="C28" s="12"/>
      <c r="D28" s="12"/>
      <c r="E28" s="12"/>
      <c r="F28" s="12"/>
      <c r="G28" s="12"/>
    </row>
  </sheetData>
  <phoneticPr fontId="3" type="noConversion"/>
  <printOptions horizontalCentered="1" verticalCentered="1"/>
  <pageMargins left="0.78740157480314965" right="0.78740157480314965" top="0.98425196850393704" bottom="0.98425196850393704" header="0.51181102362204722" footer="0.31496062992125984"/>
  <pageSetup paperSize="9" scale="98" orientation="portrait" r:id="rId1"/>
  <headerFooter alignWithMargins="0">
    <oddFooter>&amp;R자연생태복원녹화공법협회
(주)  슈  펙  스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M48"/>
  <sheetViews>
    <sheetView topLeftCell="A11" zoomScaleSheetLayoutView="90" workbookViewId="0">
      <selection activeCell="P6" sqref="P6"/>
    </sheetView>
  </sheetViews>
  <sheetFormatPr defaultColWidth="10.44140625" defaultRowHeight="15" customHeight="1"/>
  <cols>
    <col min="1" max="1" width="10.77734375" style="101" bestFit="1" customWidth="1"/>
    <col min="2" max="2" width="10.6640625" style="101" bestFit="1" customWidth="1"/>
    <col min="3" max="3" width="4" style="120" bestFit="1" customWidth="1"/>
    <col min="4" max="11" width="5.77734375" style="101" bestFit="1" customWidth="1"/>
    <col min="12" max="16384" width="10.44140625" style="101"/>
  </cols>
  <sheetData>
    <row r="1" spans="1:12" ht="23.25" customHeight="1">
      <c r="A1" s="1942" t="s">
        <v>1039</v>
      </c>
      <c r="B1" s="1942"/>
      <c r="C1" s="1942"/>
      <c r="D1" s="1942"/>
      <c r="E1" s="1942"/>
      <c r="F1" s="1942"/>
      <c r="G1" s="1942"/>
      <c r="H1" s="1942"/>
      <c r="I1" s="1942"/>
      <c r="J1" s="1942"/>
      <c r="K1" s="1942"/>
    </row>
    <row r="2" spans="1:12" s="104" customFormat="1" ht="15" customHeight="1">
      <c r="A2" s="1943" t="s">
        <v>1044</v>
      </c>
      <c r="B2" s="1945" t="s">
        <v>1045</v>
      </c>
      <c r="C2" s="1946" t="s">
        <v>824</v>
      </c>
      <c r="D2" s="1943" t="s">
        <v>1046</v>
      </c>
      <c r="E2" s="1944"/>
      <c r="F2" s="1945"/>
      <c r="G2" s="1945"/>
      <c r="H2" s="1945"/>
      <c r="I2" s="1945"/>
      <c r="J2" s="1945"/>
      <c r="K2" s="1946"/>
      <c r="L2" s="197"/>
    </row>
    <row r="3" spans="1:12" s="105" customFormat="1" ht="15" customHeight="1">
      <c r="A3" s="1947"/>
      <c r="B3" s="1948"/>
      <c r="C3" s="1949"/>
      <c r="D3" s="161" t="s">
        <v>1001</v>
      </c>
      <c r="E3" s="162" t="s">
        <v>992</v>
      </c>
      <c r="F3" s="162" t="s">
        <v>1002</v>
      </c>
      <c r="G3" s="162" t="s">
        <v>1003</v>
      </c>
      <c r="H3" s="162" t="s">
        <v>1004</v>
      </c>
      <c r="I3" s="162" t="s">
        <v>1005</v>
      </c>
      <c r="J3" s="162" t="s">
        <v>1006</v>
      </c>
      <c r="K3" s="163" t="s">
        <v>1007</v>
      </c>
      <c r="L3" s="198"/>
    </row>
    <row r="4" spans="1:12" s="137" customFormat="1" ht="15" customHeight="1">
      <c r="A4" s="1953" t="s">
        <v>1000</v>
      </c>
      <c r="B4" s="1954"/>
      <c r="C4" s="1955"/>
      <c r="D4" s="165"/>
      <c r="E4" s="166"/>
      <c r="F4" s="166"/>
      <c r="G4" s="166"/>
      <c r="H4" s="166"/>
      <c r="I4" s="166"/>
      <c r="J4" s="166"/>
      <c r="K4" s="164"/>
      <c r="L4" s="199"/>
    </row>
    <row r="5" spans="1:12" s="137" customFormat="1" ht="15" customHeight="1">
      <c r="A5" s="167" t="s">
        <v>1008</v>
      </c>
      <c r="B5" s="168" t="s">
        <v>1009</v>
      </c>
      <c r="C5" s="169" t="s">
        <v>843</v>
      </c>
      <c r="D5" s="170"/>
      <c r="E5" s="171"/>
      <c r="F5" s="171"/>
      <c r="G5" s="172"/>
      <c r="H5" s="1956">
        <v>1.9E-2</v>
      </c>
      <c r="I5" s="1956"/>
      <c r="J5" s="1956"/>
      <c r="K5" s="173">
        <v>2.3E-2</v>
      </c>
      <c r="L5" s="199"/>
    </row>
    <row r="6" spans="1:12" s="137" customFormat="1" ht="15" customHeight="1">
      <c r="A6" s="167" t="s">
        <v>1010</v>
      </c>
      <c r="B6" s="168"/>
      <c r="C6" s="174" t="s">
        <v>964</v>
      </c>
      <c r="D6" s="170"/>
      <c r="E6" s="171"/>
      <c r="F6" s="171"/>
      <c r="G6" s="172"/>
      <c r="H6" s="1937">
        <v>1.2E-2</v>
      </c>
      <c r="I6" s="1937"/>
      <c r="J6" s="1937"/>
      <c r="K6" s="176">
        <v>1.4E-2</v>
      </c>
      <c r="L6" s="199"/>
    </row>
    <row r="7" spans="1:12" s="137" customFormat="1" ht="15" customHeight="1">
      <c r="A7" s="167" t="s">
        <v>1011</v>
      </c>
      <c r="B7" s="168"/>
      <c r="C7" s="174" t="s">
        <v>964</v>
      </c>
      <c r="D7" s="170"/>
      <c r="E7" s="171"/>
      <c r="F7" s="171"/>
      <c r="G7" s="172"/>
      <c r="H7" s="1937">
        <f>H6</f>
        <v>1.2E-2</v>
      </c>
      <c r="I7" s="1937"/>
      <c r="J7" s="1937"/>
      <c r="K7" s="176">
        <f>K6</f>
        <v>1.4E-2</v>
      </c>
      <c r="L7" s="199"/>
    </row>
    <row r="8" spans="1:12" s="137" customFormat="1" ht="15" customHeight="1">
      <c r="A8" s="167" t="s">
        <v>1012</v>
      </c>
      <c r="B8" s="177" t="s">
        <v>980</v>
      </c>
      <c r="C8" s="169" t="s">
        <v>965</v>
      </c>
      <c r="D8" s="170"/>
      <c r="E8" s="171"/>
      <c r="F8" s="171"/>
      <c r="G8" s="172"/>
      <c r="H8" s="1938">
        <v>2.5</v>
      </c>
      <c r="I8" s="1938"/>
      <c r="J8" s="1938"/>
      <c r="K8" s="178">
        <v>2.5</v>
      </c>
      <c r="L8" s="199"/>
    </row>
    <row r="9" spans="1:12" s="137" customFormat="1" ht="15" customHeight="1">
      <c r="A9" s="1950" t="s">
        <v>999</v>
      </c>
      <c r="B9" s="1951"/>
      <c r="C9" s="1952"/>
      <c r="D9" s="179"/>
      <c r="E9" s="175"/>
      <c r="F9" s="175"/>
      <c r="G9" s="174"/>
      <c r="H9" s="175"/>
      <c r="I9" s="175"/>
      <c r="J9" s="175"/>
      <c r="K9" s="174"/>
      <c r="L9" s="199"/>
    </row>
    <row r="10" spans="1:12" s="137" customFormat="1" ht="15" customHeight="1">
      <c r="A10" s="138" t="s">
        <v>872</v>
      </c>
      <c r="B10" s="175" t="s">
        <v>1013</v>
      </c>
      <c r="C10" s="174" t="s">
        <v>1014</v>
      </c>
      <c r="D10" s="170"/>
      <c r="E10" s="171"/>
      <c r="F10" s="171"/>
      <c r="G10" s="172"/>
      <c r="H10" s="1937">
        <v>0.23</v>
      </c>
      <c r="I10" s="1937"/>
      <c r="J10" s="1937"/>
      <c r="K10" s="174">
        <v>0.27600000000000002</v>
      </c>
      <c r="L10" s="199"/>
    </row>
    <row r="11" spans="1:12" s="137" customFormat="1" ht="15" customHeight="1">
      <c r="A11" s="138" t="s">
        <v>887</v>
      </c>
      <c r="B11" s="175" t="s">
        <v>873</v>
      </c>
      <c r="C11" s="174" t="s">
        <v>1014</v>
      </c>
      <c r="D11" s="170"/>
      <c r="E11" s="171"/>
      <c r="F11" s="171"/>
      <c r="G11" s="172"/>
      <c r="H11" s="1939">
        <v>0.5</v>
      </c>
      <c r="I11" s="1939"/>
      <c r="J11" s="1939"/>
      <c r="K11" s="180">
        <v>0.6</v>
      </c>
      <c r="L11" s="199"/>
    </row>
    <row r="12" spans="1:12" s="137" customFormat="1" ht="15" customHeight="1">
      <c r="A12" s="138" t="s">
        <v>838</v>
      </c>
      <c r="B12" s="175"/>
      <c r="C12" s="174" t="s">
        <v>964</v>
      </c>
      <c r="D12" s="170"/>
      <c r="E12" s="171"/>
      <c r="F12" s="171"/>
      <c r="G12" s="172"/>
      <c r="H12" s="1937">
        <v>6.0000000000000001E-3</v>
      </c>
      <c r="I12" s="1937"/>
      <c r="J12" s="1937"/>
      <c r="K12" s="174">
        <v>7.0000000000000001E-3</v>
      </c>
      <c r="L12" s="199"/>
    </row>
    <row r="13" spans="1:12" s="137" customFormat="1" ht="15" customHeight="1">
      <c r="A13" s="138" t="s">
        <v>839</v>
      </c>
      <c r="B13" s="175"/>
      <c r="C13" s="174" t="s">
        <v>964</v>
      </c>
      <c r="D13" s="170"/>
      <c r="E13" s="171"/>
      <c r="F13" s="171"/>
      <c r="G13" s="172"/>
      <c r="H13" s="1937">
        <f>H12</f>
        <v>6.0000000000000001E-3</v>
      </c>
      <c r="I13" s="1937"/>
      <c r="J13" s="1937"/>
      <c r="K13" s="174">
        <f>K12</f>
        <v>7.0000000000000001E-3</v>
      </c>
      <c r="L13" s="199"/>
    </row>
    <row r="14" spans="1:12" s="137" customFormat="1" ht="15" customHeight="1">
      <c r="A14" s="1940" t="s">
        <v>998</v>
      </c>
      <c r="B14" s="1941"/>
      <c r="C14" s="174"/>
      <c r="D14" s="179"/>
      <c r="E14" s="175"/>
      <c r="F14" s="175"/>
      <c r="G14" s="174"/>
      <c r="H14" s="175"/>
      <c r="I14" s="175"/>
      <c r="J14" s="175"/>
      <c r="K14" s="174"/>
      <c r="L14" s="199"/>
    </row>
    <row r="15" spans="1:12" s="137" customFormat="1" ht="15" customHeight="1">
      <c r="A15" s="1957" t="s">
        <v>990</v>
      </c>
      <c r="B15" s="1958"/>
      <c r="C15" s="174"/>
      <c r="D15" s="179"/>
      <c r="E15" s="175"/>
      <c r="F15" s="175"/>
      <c r="G15" s="174"/>
      <c r="H15" s="175"/>
      <c r="I15" s="175"/>
      <c r="J15" s="175"/>
      <c r="K15" s="174"/>
      <c r="L15" s="199"/>
    </row>
    <row r="16" spans="1:12" s="137" customFormat="1" ht="15" customHeight="1">
      <c r="A16" s="138" t="s">
        <v>870</v>
      </c>
      <c r="B16" s="175" t="s">
        <v>871</v>
      </c>
      <c r="C16" s="174" t="s">
        <v>869</v>
      </c>
      <c r="D16" s="1963">
        <v>1.2</v>
      </c>
      <c r="E16" s="1964"/>
      <c r="F16" s="1964"/>
      <c r="G16" s="1964"/>
      <c r="H16" s="1964"/>
      <c r="I16" s="1965"/>
      <c r="J16" s="175"/>
      <c r="K16" s="174"/>
      <c r="L16" s="199"/>
    </row>
    <row r="17" spans="1:13" s="137" customFormat="1" ht="15" customHeight="1">
      <c r="A17" s="138" t="s">
        <v>872</v>
      </c>
      <c r="B17" s="175" t="s">
        <v>873</v>
      </c>
      <c r="C17" s="174" t="s">
        <v>1014</v>
      </c>
      <c r="D17" s="1963">
        <v>0.5</v>
      </c>
      <c r="E17" s="1964"/>
      <c r="F17" s="1964"/>
      <c r="G17" s="1964"/>
      <c r="H17" s="1964"/>
      <c r="I17" s="1965"/>
      <c r="J17" s="175"/>
      <c r="K17" s="174"/>
      <c r="L17" s="199"/>
    </row>
    <row r="18" spans="1:13" s="137" customFormat="1" ht="15" customHeight="1">
      <c r="A18" s="138" t="s">
        <v>837</v>
      </c>
      <c r="B18" s="175"/>
      <c r="C18" s="174" t="s">
        <v>964</v>
      </c>
      <c r="D18" s="1960">
        <v>1E-3</v>
      </c>
      <c r="E18" s="1961"/>
      <c r="F18" s="1961"/>
      <c r="G18" s="1961"/>
      <c r="H18" s="1961"/>
      <c r="I18" s="1962"/>
      <c r="J18" s="175"/>
      <c r="K18" s="174"/>
      <c r="L18" s="199"/>
    </row>
    <row r="19" spans="1:13" s="137" customFormat="1" ht="15" customHeight="1">
      <c r="A19" s="138" t="s">
        <v>838</v>
      </c>
      <c r="B19" s="175"/>
      <c r="C19" s="174" t="s">
        <v>964</v>
      </c>
      <c r="D19" s="1960">
        <v>0.01</v>
      </c>
      <c r="E19" s="1961"/>
      <c r="F19" s="1961"/>
      <c r="G19" s="1961"/>
      <c r="H19" s="1961"/>
      <c r="I19" s="1962"/>
      <c r="J19" s="175"/>
      <c r="K19" s="174"/>
      <c r="L19" s="199"/>
    </row>
    <row r="20" spans="1:13" s="137" customFormat="1" ht="15" customHeight="1">
      <c r="A20" s="138" t="s">
        <v>839</v>
      </c>
      <c r="B20" s="175"/>
      <c r="C20" s="174" t="s">
        <v>964</v>
      </c>
      <c r="D20" s="1960">
        <v>0.02</v>
      </c>
      <c r="E20" s="1961"/>
      <c r="F20" s="1961"/>
      <c r="G20" s="1961"/>
      <c r="H20" s="1961"/>
      <c r="I20" s="1962"/>
      <c r="J20" s="175"/>
      <c r="K20" s="174"/>
      <c r="L20" s="199"/>
    </row>
    <row r="21" spans="1:13" s="137" customFormat="1" ht="15" customHeight="1">
      <c r="A21" s="1957" t="s">
        <v>991</v>
      </c>
      <c r="B21" s="1958"/>
      <c r="C21" s="174"/>
      <c r="D21" s="1963"/>
      <c r="E21" s="1964"/>
      <c r="F21" s="1964"/>
      <c r="G21" s="1964"/>
      <c r="H21" s="1964"/>
      <c r="I21" s="1965"/>
      <c r="J21" s="175"/>
      <c r="K21" s="174"/>
      <c r="L21" s="199"/>
    </row>
    <row r="22" spans="1:13" s="137" customFormat="1" ht="15" customHeight="1">
      <c r="A22" s="167" t="s">
        <v>1015</v>
      </c>
      <c r="B22" s="268" t="s">
        <v>889</v>
      </c>
      <c r="C22" s="181" t="s">
        <v>1016</v>
      </c>
      <c r="D22" s="179"/>
      <c r="E22" s="175"/>
      <c r="F22" s="175"/>
      <c r="G22" s="174"/>
      <c r="H22" s="1939">
        <v>1.3</v>
      </c>
      <c r="I22" s="1939"/>
      <c r="J22" s="1939"/>
      <c r="K22" s="182">
        <v>1.56</v>
      </c>
      <c r="L22" s="199"/>
    </row>
    <row r="23" spans="1:13" s="137" customFormat="1" ht="15" customHeight="1">
      <c r="A23" s="167" t="s">
        <v>1017</v>
      </c>
      <c r="B23" s="168" t="s">
        <v>1018</v>
      </c>
      <c r="C23" s="181" t="s">
        <v>1019</v>
      </c>
      <c r="D23" s="179"/>
      <c r="E23" s="175"/>
      <c r="F23" s="175"/>
      <c r="G23" s="174"/>
      <c r="H23" s="1939">
        <f>H22</f>
        <v>1.3</v>
      </c>
      <c r="I23" s="1939"/>
      <c r="J23" s="1939"/>
      <c r="K23" s="182">
        <f>K22</f>
        <v>1.56</v>
      </c>
      <c r="L23" s="199"/>
    </row>
    <row r="24" spans="1:13" s="137" customFormat="1" ht="15" customHeight="1">
      <c r="A24" s="138" t="s">
        <v>837</v>
      </c>
      <c r="B24" s="175"/>
      <c r="C24" s="174" t="s">
        <v>964</v>
      </c>
      <c r="D24" s="170"/>
      <c r="E24" s="171"/>
      <c r="F24" s="171"/>
      <c r="G24" s="172"/>
      <c r="H24" s="1956">
        <v>5.0000000000000001E-3</v>
      </c>
      <c r="I24" s="1956"/>
      <c r="J24" s="1956"/>
      <c r="K24" s="173">
        <v>6.0000000000000001E-3</v>
      </c>
      <c r="L24" s="199"/>
    </row>
    <row r="25" spans="1:13" s="137" customFormat="1" ht="15" customHeight="1">
      <c r="A25" s="138" t="s">
        <v>838</v>
      </c>
      <c r="B25" s="175"/>
      <c r="C25" s="174" t="s">
        <v>964</v>
      </c>
      <c r="D25" s="170"/>
      <c r="E25" s="171"/>
      <c r="F25" s="171"/>
      <c r="G25" s="172"/>
      <c r="H25" s="1968">
        <v>0.02</v>
      </c>
      <c r="I25" s="1968"/>
      <c r="J25" s="1968"/>
      <c r="K25" s="176">
        <v>2.4E-2</v>
      </c>
      <c r="L25" s="199"/>
    </row>
    <row r="26" spans="1:13" s="137" customFormat="1" ht="15" customHeight="1">
      <c r="A26" s="138" t="s">
        <v>839</v>
      </c>
      <c r="B26" s="175"/>
      <c r="C26" s="174" t="s">
        <v>964</v>
      </c>
      <c r="D26" s="170"/>
      <c r="E26" s="171"/>
      <c r="F26" s="171"/>
      <c r="G26" s="172"/>
      <c r="H26" s="1968">
        <f>H25</f>
        <v>0.02</v>
      </c>
      <c r="I26" s="1968"/>
      <c r="J26" s="1968"/>
      <c r="K26" s="176">
        <f>K25</f>
        <v>2.4E-2</v>
      </c>
      <c r="L26" s="199"/>
    </row>
    <row r="27" spans="1:13" s="137" customFormat="1" ht="15" customHeight="1">
      <c r="A27" s="1950" t="s">
        <v>997</v>
      </c>
      <c r="B27" s="1959"/>
      <c r="C27" s="174"/>
      <c r="D27" s="179"/>
      <c r="E27" s="175"/>
      <c r="F27" s="175"/>
      <c r="G27" s="175"/>
      <c r="H27" s="175"/>
      <c r="I27" s="175"/>
      <c r="J27" s="175"/>
      <c r="K27" s="174"/>
      <c r="L27" s="199"/>
    </row>
    <row r="28" spans="1:13" s="105" customFormat="1" ht="15" customHeight="1">
      <c r="A28" s="183" t="s">
        <v>850</v>
      </c>
      <c r="B28" s="177" t="s">
        <v>851</v>
      </c>
      <c r="C28" s="169" t="s">
        <v>831</v>
      </c>
      <c r="D28" s="184">
        <v>3.6</v>
      </c>
      <c r="E28" s="185">
        <v>9</v>
      </c>
      <c r="F28" s="185">
        <v>18</v>
      </c>
      <c r="G28" s="185">
        <v>27</v>
      </c>
      <c r="H28" s="185">
        <f>G28/3*5</f>
        <v>45</v>
      </c>
      <c r="I28" s="185">
        <f>G28/3*7</f>
        <v>63</v>
      </c>
      <c r="J28" s="185">
        <f>G28/3*10</f>
        <v>90</v>
      </c>
      <c r="K28" s="186">
        <f>G28/3*12</f>
        <v>108</v>
      </c>
      <c r="L28" s="198"/>
    </row>
    <row r="29" spans="1:13" s="104" customFormat="1" ht="15" customHeight="1">
      <c r="A29" s="187" t="s">
        <v>852</v>
      </c>
      <c r="B29" s="177" t="s">
        <v>832</v>
      </c>
      <c r="C29" s="169" t="s">
        <v>831</v>
      </c>
      <c r="D29" s="184">
        <v>0.88</v>
      </c>
      <c r="E29" s="185">
        <v>2.2000000000000002</v>
      </c>
      <c r="F29" s="185">
        <v>4.4000000000000004</v>
      </c>
      <c r="G29" s="185">
        <v>6.6</v>
      </c>
      <c r="H29" s="185">
        <f>G29/3*5</f>
        <v>10.999999999999998</v>
      </c>
      <c r="I29" s="185">
        <f>G29/3*7</f>
        <v>15.399999999999999</v>
      </c>
      <c r="J29" s="185">
        <f>G29/3*10</f>
        <v>21.999999999999996</v>
      </c>
      <c r="K29" s="188">
        <f>G29/3*12</f>
        <v>26.4</v>
      </c>
      <c r="L29" s="197"/>
    </row>
    <row r="30" spans="1:13" s="104" customFormat="1" ht="15" customHeight="1">
      <c r="A30" s="183" t="s">
        <v>853</v>
      </c>
      <c r="B30" s="189" t="s">
        <v>855</v>
      </c>
      <c r="C30" s="169" t="s">
        <v>811</v>
      </c>
      <c r="D30" s="184">
        <v>0.16</v>
      </c>
      <c r="E30" s="185">
        <v>0.4</v>
      </c>
      <c r="F30" s="185">
        <v>0.8</v>
      </c>
      <c r="G30" s="185">
        <v>1.2</v>
      </c>
      <c r="H30" s="185">
        <f>G30/3*5</f>
        <v>1.9999999999999998</v>
      </c>
      <c r="I30" s="185">
        <f>G30/3*7</f>
        <v>2.8</v>
      </c>
      <c r="J30" s="185">
        <f>G30/3*10</f>
        <v>3.9999999999999996</v>
      </c>
      <c r="K30" s="188">
        <f>G30/3*12</f>
        <v>4.8</v>
      </c>
      <c r="L30" s="200"/>
      <c r="M30" s="123"/>
    </row>
    <row r="31" spans="1:13" s="104" customFormat="1" ht="15" customHeight="1">
      <c r="A31" s="183" t="s">
        <v>854</v>
      </c>
      <c r="B31" s="177" t="s">
        <v>833</v>
      </c>
      <c r="C31" s="169" t="s">
        <v>811</v>
      </c>
      <c r="D31" s="184">
        <v>0.04</v>
      </c>
      <c r="E31" s="185">
        <v>0.1</v>
      </c>
      <c r="F31" s="185">
        <v>0.2</v>
      </c>
      <c r="G31" s="185">
        <v>0.3</v>
      </c>
      <c r="H31" s="185">
        <f>G31/3*5</f>
        <v>0.49999999999999994</v>
      </c>
      <c r="I31" s="185">
        <f>G31/3*7</f>
        <v>0.7</v>
      </c>
      <c r="J31" s="185">
        <f>G31/3*10</f>
        <v>0.99999999999999989</v>
      </c>
      <c r="K31" s="188">
        <f>G31/3*12</f>
        <v>1.2</v>
      </c>
      <c r="L31" s="197"/>
    </row>
    <row r="32" spans="1:13" s="104" customFormat="1" ht="15" customHeight="1">
      <c r="A32" s="183" t="s">
        <v>856</v>
      </c>
      <c r="B32" s="177" t="s">
        <v>834</v>
      </c>
      <c r="C32" s="169" t="s">
        <v>842</v>
      </c>
      <c r="D32" s="190">
        <v>30</v>
      </c>
      <c r="E32" s="191">
        <v>30</v>
      </c>
      <c r="F32" s="191">
        <v>30</v>
      </c>
      <c r="G32" s="191">
        <v>30</v>
      </c>
      <c r="H32" s="191">
        <v>30</v>
      </c>
      <c r="I32" s="191">
        <v>30</v>
      </c>
      <c r="J32" s="191">
        <v>30</v>
      </c>
      <c r="K32" s="186">
        <v>30</v>
      </c>
      <c r="L32" s="197"/>
    </row>
    <row r="33" spans="1:12" s="104" customFormat="1" ht="15" customHeight="1">
      <c r="A33" s="183" t="s">
        <v>884</v>
      </c>
      <c r="B33" s="177" t="s">
        <v>979</v>
      </c>
      <c r="C33" s="169" t="s">
        <v>965</v>
      </c>
      <c r="D33" s="190">
        <v>2</v>
      </c>
      <c r="E33" s="191">
        <v>2</v>
      </c>
      <c r="F33" s="191">
        <v>2</v>
      </c>
      <c r="G33" s="191">
        <v>2</v>
      </c>
      <c r="H33" s="191">
        <v>2</v>
      </c>
      <c r="I33" s="191">
        <v>2</v>
      </c>
      <c r="J33" s="191">
        <v>2</v>
      </c>
      <c r="K33" s="186">
        <v>2</v>
      </c>
      <c r="L33" s="201"/>
    </row>
    <row r="34" spans="1:12" s="104" customFormat="1" ht="15" customHeight="1">
      <c r="A34" s="138" t="s">
        <v>906</v>
      </c>
      <c r="B34" s="177" t="s">
        <v>876</v>
      </c>
      <c r="C34" s="169" t="s">
        <v>843</v>
      </c>
      <c r="D34" s="207">
        <v>0.01</v>
      </c>
      <c r="E34" s="203">
        <v>1.4999999999999999E-2</v>
      </c>
      <c r="F34" s="203">
        <v>1.4999999999999999E-2</v>
      </c>
      <c r="G34" s="203">
        <v>0.02</v>
      </c>
      <c r="H34" s="192">
        <v>0.03</v>
      </c>
      <c r="I34" s="192">
        <v>0.04</v>
      </c>
      <c r="J34" s="192">
        <v>5.2999999999999999E-2</v>
      </c>
      <c r="K34" s="193">
        <v>6.4000000000000001E-2</v>
      </c>
      <c r="L34" s="197"/>
    </row>
    <row r="35" spans="1:12" s="104" customFormat="1" ht="15" customHeight="1">
      <c r="A35" s="138" t="s">
        <v>835</v>
      </c>
      <c r="B35" s="177" t="s">
        <v>844</v>
      </c>
      <c r="C35" s="169" t="s">
        <v>843</v>
      </c>
      <c r="D35" s="207">
        <f t="shared" ref="D35:F36" si="0">D34</f>
        <v>0.01</v>
      </c>
      <c r="E35" s="203">
        <f t="shared" si="0"/>
        <v>1.4999999999999999E-2</v>
      </c>
      <c r="F35" s="203">
        <f t="shared" si="0"/>
        <v>1.4999999999999999E-2</v>
      </c>
      <c r="G35" s="203">
        <f t="shared" ref="G35:K36" si="1">G34</f>
        <v>0.02</v>
      </c>
      <c r="H35" s="192">
        <f t="shared" si="1"/>
        <v>0.03</v>
      </c>
      <c r="I35" s="192">
        <f t="shared" si="1"/>
        <v>0.04</v>
      </c>
      <c r="J35" s="192">
        <f t="shared" si="1"/>
        <v>5.2999999999999999E-2</v>
      </c>
      <c r="K35" s="193">
        <f t="shared" si="1"/>
        <v>6.4000000000000001E-2</v>
      </c>
      <c r="L35" s="197"/>
    </row>
    <row r="36" spans="1:12" s="104" customFormat="1" ht="15" customHeight="1">
      <c r="A36" s="138" t="s">
        <v>845</v>
      </c>
      <c r="B36" s="177" t="s">
        <v>863</v>
      </c>
      <c r="C36" s="169" t="s">
        <v>843</v>
      </c>
      <c r="D36" s="207">
        <f t="shared" si="0"/>
        <v>0.01</v>
      </c>
      <c r="E36" s="203">
        <f t="shared" si="0"/>
        <v>1.4999999999999999E-2</v>
      </c>
      <c r="F36" s="203">
        <f t="shared" si="0"/>
        <v>1.4999999999999999E-2</v>
      </c>
      <c r="G36" s="203">
        <f t="shared" si="1"/>
        <v>0.02</v>
      </c>
      <c r="H36" s="192">
        <f t="shared" si="1"/>
        <v>0.03</v>
      </c>
      <c r="I36" s="192">
        <f t="shared" si="1"/>
        <v>0.04</v>
      </c>
      <c r="J36" s="192">
        <f t="shared" si="1"/>
        <v>5.2999999999999999E-2</v>
      </c>
      <c r="K36" s="193">
        <f t="shared" si="1"/>
        <v>6.4000000000000001E-2</v>
      </c>
      <c r="L36" s="197"/>
    </row>
    <row r="37" spans="1:12" s="104" customFormat="1" ht="15" customHeight="1">
      <c r="A37" s="138" t="s">
        <v>885</v>
      </c>
      <c r="B37" s="177" t="s">
        <v>868</v>
      </c>
      <c r="C37" s="169" t="s">
        <v>843</v>
      </c>
      <c r="D37" s="207">
        <v>1.0999999999999999E-2</v>
      </c>
      <c r="E37" s="203">
        <v>0.02</v>
      </c>
      <c r="F37" s="203">
        <v>0.02</v>
      </c>
      <c r="G37" s="203">
        <v>2.5000000000000001E-2</v>
      </c>
      <c r="H37" s="192">
        <v>3.5000000000000003E-2</v>
      </c>
      <c r="I37" s="192">
        <v>0.05</v>
      </c>
      <c r="J37" s="192">
        <v>0.06</v>
      </c>
      <c r="K37" s="193">
        <v>7.1999999999999995E-2</v>
      </c>
      <c r="L37" s="197"/>
    </row>
    <row r="38" spans="1:12" s="104" customFormat="1" ht="15" customHeight="1">
      <c r="A38" s="183" t="s">
        <v>846</v>
      </c>
      <c r="B38" s="177" t="s">
        <v>847</v>
      </c>
      <c r="C38" s="169" t="s">
        <v>843</v>
      </c>
      <c r="D38" s="207">
        <f t="shared" ref="D38:K38" si="2">D36</f>
        <v>0.01</v>
      </c>
      <c r="E38" s="203">
        <f>E36</f>
        <v>1.4999999999999999E-2</v>
      </c>
      <c r="F38" s="203">
        <f t="shared" si="2"/>
        <v>1.4999999999999999E-2</v>
      </c>
      <c r="G38" s="203">
        <f t="shared" si="2"/>
        <v>0.02</v>
      </c>
      <c r="H38" s="192">
        <f t="shared" si="2"/>
        <v>0.03</v>
      </c>
      <c r="I38" s="192">
        <f t="shared" si="2"/>
        <v>0.04</v>
      </c>
      <c r="J38" s="192">
        <f t="shared" si="2"/>
        <v>5.2999999999999999E-2</v>
      </c>
      <c r="K38" s="193">
        <f t="shared" si="2"/>
        <v>6.4000000000000001E-2</v>
      </c>
      <c r="L38" s="197"/>
    </row>
    <row r="39" spans="1:12" s="104" customFormat="1" ht="15" customHeight="1">
      <c r="A39" s="138" t="s">
        <v>836</v>
      </c>
      <c r="B39" s="177" t="s">
        <v>867</v>
      </c>
      <c r="C39" s="169" t="s">
        <v>843</v>
      </c>
      <c r="D39" s="207">
        <f t="shared" ref="D39:K39" si="3">D38</f>
        <v>0.01</v>
      </c>
      <c r="E39" s="203">
        <f t="shared" si="3"/>
        <v>1.4999999999999999E-2</v>
      </c>
      <c r="F39" s="203">
        <f t="shared" si="3"/>
        <v>1.4999999999999999E-2</v>
      </c>
      <c r="G39" s="203">
        <f t="shared" si="3"/>
        <v>0.02</v>
      </c>
      <c r="H39" s="192">
        <f t="shared" si="3"/>
        <v>0.03</v>
      </c>
      <c r="I39" s="192">
        <f t="shared" si="3"/>
        <v>0.04</v>
      </c>
      <c r="J39" s="192">
        <f t="shared" si="3"/>
        <v>5.2999999999999999E-2</v>
      </c>
      <c r="K39" s="193">
        <f t="shared" si="3"/>
        <v>6.4000000000000001E-2</v>
      </c>
      <c r="L39" s="201"/>
    </row>
    <row r="40" spans="1:12" s="104" customFormat="1" ht="15" customHeight="1">
      <c r="A40" s="183" t="s">
        <v>837</v>
      </c>
      <c r="B40" s="177"/>
      <c r="C40" s="169" t="s">
        <v>964</v>
      </c>
      <c r="D40" s="208">
        <v>1E-3</v>
      </c>
      <c r="E40" s="203">
        <v>1E-3</v>
      </c>
      <c r="F40" s="203">
        <v>2E-3</v>
      </c>
      <c r="G40" s="203">
        <v>3.0000000000000001E-3</v>
      </c>
      <c r="H40" s="192">
        <v>5.0000000000000001E-3</v>
      </c>
      <c r="I40" s="192">
        <v>6.0000000000000001E-3</v>
      </c>
      <c r="J40" s="192">
        <v>8.0000000000000002E-3</v>
      </c>
      <c r="K40" s="193">
        <v>0.01</v>
      </c>
      <c r="L40" s="197"/>
    </row>
    <row r="41" spans="1:12" s="104" customFormat="1" ht="15" customHeight="1">
      <c r="A41" s="183" t="s">
        <v>838</v>
      </c>
      <c r="B41" s="177"/>
      <c r="C41" s="169" t="s">
        <v>964</v>
      </c>
      <c r="D41" s="208">
        <v>3.0000000000000001E-3</v>
      </c>
      <c r="E41" s="203">
        <v>5.0000000000000001E-3</v>
      </c>
      <c r="F41" s="203">
        <v>1.0999999999999999E-2</v>
      </c>
      <c r="G41" s="203">
        <v>1.6E-2</v>
      </c>
      <c r="H41" s="192">
        <v>2.1999999999999999E-2</v>
      </c>
      <c r="I41" s="192">
        <v>2.7E-2</v>
      </c>
      <c r="J41" s="192">
        <v>3.5000000000000003E-2</v>
      </c>
      <c r="K41" s="193">
        <v>4.2000000000000003E-2</v>
      </c>
      <c r="L41" s="197"/>
    </row>
    <row r="42" spans="1:12" s="104" customFormat="1" ht="15" customHeight="1">
      <c r="A42" s="183" t="s">
        <v>848</v>
      </c>
      <c r="B42" s="177"/>
      <c r="C42" s="169" t="s">
        <v>964</v>
      </c>
      <c r="D42" s="208">
        <f t="shared" ref="D42:K42" si="4">D40</f>
        <v>1E-3</v>
      </c>
      <c r="E42" s="203">
        <f>E40</f>
        <v>1E-3</v>
      </c>
      <c r="F42" s="203">
        <f t="shared" si="4"/>
        <v>2E-3</v>
      </c>
      <c r="G42" s="203">
        <f t="shared" si="4"/>
        <v>3.0000000000000001E-3</v>
      </c>
      <c r="H42" s="192">
        <f t="shared" si="4"/>
        <v>5.0000000000000001E-3</v>
      </c>
      <c r="I42" s="192">
        <f t="shared" si="4"/>
        <v>6.0000000000000001E-3</v>
      </c>
      <c r="J42" s="192">
        <f t="shared" si="4"/>
        <v>8.0000000000000002E-3</v>
      </c>
      <c r="K42" s="193">
        <f t="shared" si="4"/>
        <v>0.01</v>
      </c>
      <c r="L42" s="197"/>
    </row>
    <row r="43" spans="1:12" s="104" customFormat="1" ht="15" customHeight="1">
      <c r="A43" s="183" t="s">
        <v>839</v>
      </c>
      <c r="B43" s="177"/>
      <c r="C43" s="169" t="s">
        <v>964</v>
      </c>
      <c r="D43" s="208">
        <v>0.01</v>
      </c>
      <c r="E43" s="203">
        <v>1.0999999999999999E-2</v>
      </c>
      <c r="F43" s="203">
        <v>2.1999999999999999E-2</v>
      </c>
      <c r="G43" s="203">
        <v>3.3000000000000002E-2</v>
      </c>
      <c r="H43" s="192">
        <v>3.7999999999999999E-2</v>
      </c>
      <c r="I43" s="192">
        <v>5.1999999999999998E-2</v>
      </c>
      <c r="J43" s="192">
        <v>7.0000000000000007E-2</v>
      </c>
      <c r="K43" s="193">
        <v>8.4000000000000005E-2</v>
      </c>
      <c r="L43" s="201"/>
    </row>
    <row r="44" spans="1:12" s="104" customFormat="1" ht="15" customHeight="1">
      <c r="A44" s="194" t="s">
        <v>840</v>
      </c>
      <c r="B44" s="195" t="s">
        <v>980</v>
      </c>
      <c r="C44" s="196" t="s">
        <v>965</v>
      </c>
      <c r="D44" s="1966">
        <v>2</v>
      </c>
      <c r="E44" s="1967"/>
      <c r="F44" s="1967"/>
      <c r="G44" s="1967"/>
      <c r="H44" s="1967"/>
      <c r="I44" s="1967"/>
      <c r="J44" s="1967"/>
      <c r="K44" s="1967"/>
      <c r="L44" s="197"/>
    </row>
    <row r="45" spans="1:12" ht="15" customHeight="1">
      <c r="A45" s="101" t="s">
        <v>995</v>
      </c>
    </row>
    <row r="46" spans="1:12" ht="15" customHeight="1">
      <c r="A46" s="101" t="s">
        <v>996</v>
      </c>
    </row>
    <row r="47" spans="1:12" ht="15" customHeight="1">
      <c r="A47" s="101" t="s">
        <v>993</v>
      </c>
    </row>
    <row r="48" spans="1:12" ht="15" customHeight="1">
      <c r="A48" s="101" t="s">
        <v>994</v>
      </c>
    </row>
  </sheetData>
  <mergeCells count="31">
    <mergeCell ref="D44:K44"/>
    <mergeCell ref="H22:J22"/>
    <mergeCell ref="H23:J23"/>
    <mergeCell ref="H26:J26"/>
    <mergeCell ref="H25:J25"/>
    <mergeCell ref="H24:J24"/>
    <mergeCell ref="A15:B15"/>
    <mergeCell ref="A21:B21"/>
    <mergeCell ref="A27:B27"/>
    <mergeCell ref="D20:I20"/>
    <mergeCell ref="D21:I21"/>
    <mergeCell ref="D19:I19"/>
    <mergeCell ref="D16:I16"/>
    <mergeCell ref="D17:I17"/>
    <mergeCell ref="D18:I18"/>
    <mergeCell ref="A14:B14"/>
    <mergeCell ref="H10:J10"/>
    <mergeCell ref="A1:K1"/>
    <mergeCell ref="D2:K2"/>
    <mergeCell ref="A2:A3"/>
    <mergeCell ref="B2:B3"/>
    <mergeCell ref="C2:C3"/>
    <mergeCell ref="A9:C9"/>
    <mergeCell ref="A4:C4"/>
    <mergeCell ref="H5:J5"/>
    <mergeCell ref="H12:J12"/>
    <mergeCell ref="H13:J13"/>
    <mergeCell ref="H6:J6"/>
    <mergeCell ref="H7:J7"/>
    <mergeCell ref="H8:J8"/>
    <mergeCell ref="H11:J11"/>
  </mergeCells>
  <phoneticPr fontId="3" type="noConversion"/>
  <printOptions horizontalCentered="1"/>
  <pageMargins left="0.59055118110236227" right="0" top="0.59055118110236227" bottom="0.39370078740157483" header="0.11811023622047245" footer="0.11811023622047245"/>
  <pageSetup paperSize="9" orientation="portrait" horizontalDpi="300" verticalDpi="300" r:id="rId1"/>
  <headerFooter alignWithMargins="0">
    <oddFooter>&amp;R&amp;10자연생태복원녹화공법협회
(주)  슈  펙  스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9:K132"/>
  <sheetViews>
    <sheetView view="pageBreakPreview" topLeftCell="A67" zoomScaleSheetLayoutView="100" workbookViewId="0">
      <selection activeCell="P6" sqref="P6"/>
    </sheetView>
  </sheetViews>
  <sheetFormatPr defaultRowHeight="13.5"/>
  <cols>
    <col min="1" max="2" width="9.77734375" customWidth="1"/>
    <col min="3" max="3" width="5.77734375" customWidth="1"/>
    <col min="4" max="4" width="4.33203125" style="338" customWidth="1"/>
    <col min="5" max="10" width="6.33203125" customWidth="1"/>
    <col min="11" max="11" width="7.33203125" customWidth="1"/>
  </cols>
  <sheetData>
    <row r="19" spans="3:8" s="339" customFormat="1" ht="30" customHeight="1">
      <c r="D19" s="387"/>
    </row>
    <row r="20" spans="3:8" s="339" customFormat="1" ht="30" customHeight="1">
      <c r="D20" s="387"/>
    </row>
    <row r="21" spans="3:8" s="339" customFormat="1" ht="30" customHeight="1">
      <c r="C21" s="388" t="s">
        <v>1318</v>
      </c>
      <c r="D21" s="1549" t="s">
        <v>1362</v>
      </c>
      <c r="E21" s="1549"/>
      <c r="F21" s="1549" t="s">
        <v>1363</v>
      </c>
      <c r="G21" s="1549"/>
      <c r="H21" s="389" t="s">
        <v>1364</v>
      </c>
    </row>
    <row r="22" spans="3:8" s="339" customFormat="1" ht="30" customHeight="1">
      <c r="C22" s="390">
        <v>1</v>
      </c>
      <c r="D22" s="391">
        <v>10</v>
      </c>
      <c r="E22" s="392" t="s">
        <v>1263</v>
      </c>
      <c r="F22" s="1817">
        <f>K87</f>
        <v>42437</v>
      </c>
      <c r="G22" s="1818"/>
      <c r="H22" s="393"/>
    </row>
    <row r="23" spans="3:8" s="339" customFormat="1" ht="30" customHeight="1">
      <c r="C23" s="394">
        <v>2</v>
      </c>
      <c r="D23" s="395">
        <v>15</v>
      </c>
      <c r="E23" s="396" t="s">
        <v>1263</v>
      </c>
      <c r="F23" s="1819">
        <f>K130</f>
        <v>53659</v>
      </c>
      <c r="G23" s="1545"/>
      <c r="H23" s="397"/>
    </row>
    <row r="45" spans="1:11" ht="15.95" customHeight="1">
      <c r="A45" s="1804" t="s">
        <v>1365</v>
      </c>
      <c r="B45" s="1804"/>
      <c r="C45" s="1804"/>
      <c r="D45" s="1804"/>
      <c r="E45" s="1804"/>
      <c r="F45" s="1804"/>
      <c r="G45" s="1804"/>
      <c r="H45" s="1804"/>
      <c r="I45" s="1804"/>
      <c r="J45" s="1804"/>
      <c r="K45" s="1804"/>
    </row>
    <row r="46" spans="1:11" s="347" customFormat="1" ht="15.95" customHeight="1">
      <c r="A46" s="343" t="s">
        <v>1171</v>
      </c>
      <c r="B46" s="344"/>
      <c r="C46" s="344"/>
      <c r="D46" s="345"/>
      <c r="E46" s="344"/>
      <c r="F46" s="344"/>
      <c r="G46" s="344"/>
      <c r="H46" s="344"/>
      <c r="I46" s="344"/>
      <c r="J46" s="344"/>
      <c r="K46" s="346"/>
    </row>
    <row r="47" spans="1:11" s="347" customFormat="1" ht="15.95" customHeight="1">
      <c r="A47" s="1803" t="s">
        <v>1172</v>
      </c>
      <c r="B47" s="1797" t="s">
        <v>982</v>
      </c>
      <c r="C47" s="1797" t="s">
        <v>1173</v>
      </c>
      <c r="D47" s="1797" t="s">
        <v>983</v>
      </c>
      <c r="E47" s="1797" t="s">
        <v>815</v>
      </c>
      <c r="F47" s="1797"/>
      <c r="G47" s="1797" t="s">
        <v>814</v>
      </c>
      <c r="H47" s="1797"/>
      <c r="I47" s="1797" t="s">
        <v>816</v>
      </c>
      <c r="J47" s="1797"/>
      <c r="K47" s="1800" t="s">
        <v>1174</v>
      </c>
    </row>
    <row r="48" spans="1:11" s="347" customFormat="1" ht="15.95" customHeight="1">
      <c r="A48" s="1803"/>
      <c r="B48" s="1797"/>
      <c r="C48" s="1797"/>
      <c r="D48" s="1797"/>
      <c r="E48" s="349" t="s">
        <v>1175</v>
      </c>
      <c r="F48" s="349" t="s">
        <v>1176</v>
      </c>
      <c r="G48" s="349" t="s">
        <v>1175</v>
      </c>
      <c r="H48" s="349" t="s">
        <v>1176</v>
      </c>
      <c r="I48" s="349" t="s">
        <v>1175</v>
      </c>
      <c r="J48" s="349" t="s">
        <v>1176</v>
      </c>
      <c r="K48" s="1800"/>
    </row>
    <row r="49" spans="1:11" s="347" customFormat="1" ht="15.95" customHeight="1">
      <c r="A49" s="348" t="s">
        <v>1177</v>
      </c>
      <c r="B49" s="349" t="s">
        <v>1178</v>
      </c>
      <c r="C49" s="350">
        <v>1.9E-2</v>
      </c>
      <c r="D49" s="349" t="s">
        <v>1179</v>
      </c>
      <c r="E49" s="351">
        <v>11372</v>
      </c>
      <c r="F49" s="351">
        <f>INT(C49*E49)</f>
        <v>216</v>
      </c>
      <c r="G49" s="351">
        <v>12817</v>
      </c>
      <c r="H49" s="351">
        <f>INT(C49*G49)</f>
        <v>243</v>
      </c>
      <c r="I49" s="351">
        <v>4678</v>
      </c>
      <c r="J49" s="351">
        <f>INT(C49*I49)</f>
        <v>88</v>
      </c>
      <c r="K49" s="352"/>
    </row>
    <row r="50" spans="1:11" s="347" customFormat="1" ht="15.95" customHeight="1">
      <c r="A50" s="348" t="s">
        <v>1180</v>
      </c>
      <c r="B50" s="353"/>
      <c r="C50" s="350">
        <v>1.2E-2</v>
      </c>
      <c r="D50" s="349" t="s">
        <v>820</v>
      </c>
      <c r="E50" s="351"/>
      <c r="F50" s="351"/>
      <c r="G50" s="351">
        <f ca="1">'11.0시중노임'!F3</f>
        <v>79533</v>
      </c>
      <c r="H50" s="351">
        <f>INT(C50*G50)</f>
        <v>954</v>
      </c>
      <c r="I50" s="351"/>
      <c r="J50" s="351"/>
      <c r="K50" s="352"/>
    </row>
    <row r="51" spans="1:11" s="347" customFormat="1" ht="15.95" customHeight="1">
      <c r="A51" s="348" t="s">
        <v>971</v>
      </c>
      <c r="B51" s="349"/>
      <c r="C51" s="350">
        <v>1.2E-2</v>
      </c>
      <c r="D51" s="349" t="s">
        <v>820</v>
      </c>
      <c r="E51" s="351"/>
      <c r="F51" s="351"/>
      <c r="G51" s="351">
        <f ca="1">'11.0시중노임'!F6</f>
        <v>68965</v>
      </c>
      <c r="H51" s="351">
        <f>INT(C51*G51)</f>
        <v>827</v>
      </c>
      <c r="I51" s="351"/>
      <c r="J51" s="351"/>
      <c r="K51" s="352"/>
    </row>
    <row r="52" spans="1:11" s="347" customFormat="1" ht="18.75" customHeight="1">
      <c r="A52" s="354" t="s">
        <v>1181</v>
      </c>
      <c r="B52" s="349" t="s">
        <v>1366</v>
      </c>
      <c r="C52" s="350">
        <v>2.5</v>
      </c>
      <c r="D52" s="349" t="s">
        <v>965</v>
      </c>
      <c r="E52" s="351"/>
      <c r="F52" s="351"/>
      <c r="G52" s="351"/>
      <c r="H52" s="351"/>
      <c r="I52" s="351">
        <f>SUM(H50:H51)</f>
        <v>1781</v>
      </c>
      <c r="J52" s="351">
        <f>INT(C52/100*I52)</f>
        <v>44</v>
      </c>
      <c r="K52" s="352"/>
    </row>
    <row r="53" spans="1:11" s="347" customFormat="1" ht="15.95" customHeight="1">
      <c r="A53" s="522" t="s">
        <v>1367</v>
      </c>
      <c r="B53" s="349" t="s">
        <v>979</v>
      </c>
      <c r="C53" s="521">
        <v>3</v>
      </c>
      <c r="D53" s="349" t="s">
        <v>965</v>
      </c>
      <c r="E53" s="351">
        <f>F49</f>
        <v>216</v>
      </c>
      <c r="F53" s="351">
        <f>INT(C53/100*E53)</f>
        <v>6</v>
      </c>
      <c r="G53" s="351"/>
      <c r="H53" s="351"/>
      <c r="I53" s="351"/>
      <c r="J53" s="351"/>
      <c r="K53" s="352"/>
    </row>
    <row r="54" spans="1:11" s="347" customFormat="1" ht="15.95" customHeight="1">
      <c r="A54" s="522" t="s">
        <v>1368</v>
      </c>
      <c r="B54" s="349" t="s">
        <v>1366</v>
      </c>
      <c r="C54" s="521">
        <v>2</v>
      </c>
      <c r="D54" s="349" t="s">
        <v>965</v>
      </c>
      <c r="E54" s="351"/>
      <c r="F54" s="351"/>
      <c r="G54" s="351"/>
      <c r="H54" s="351"/>
      <c r="I54" s="351">
        <f>SUM(H50:H51)</f>
        <v>1781</v>
      </c>
      <c r="J54" s="351">
        <f>INT(C54/100*I54)</f>
        <v>35</v>
      </c>
      <c r="K54" s="352"/>
    </row>
    <row r="55" spans="1:11" s="347" customFormat="1" ht="15.95" customHeight="1">
      <c r="A55" s="348" t="s">
        <v>956</v>
      </c>
      <c r="B55" s="349"/>
      <c r="C55" s="350"/>
      <c r="D55" s="349"/>
      <c r="E55" s="351"/>
      <c r="F55" s="351">
        <f>SUM(F49:F54)</f>
        <v>222</v>
      </c>
      <c r="G55" s="351"/>
      <c r="H55" s="351">
        <f>SUM(H49:H54)</f>
        <v>2024</v>
      </c>
      <c r="I55" s="351"/>
      <c r="J55" s="351">
        <f>SUM(J49:J54)</f>
        <v>167</v>
      </c>
      <c r="K55" s="352">
        <f>INT(SUM(F55:J55))</f>
        <v>2413</v>
      </c>
    </row>
    <row r="56" spans="1:11" s="347" customFormat="1" ht="15.95" customHeight="1">
      <c r="A56" s="355" t="s">
        <v>1184</v>
      </c>
      <c r="B56" s="356"/>
      <c r="C56" s="356"/>
      <c r="D56" s="357"/>
      <c r="E56" s="358"/>
      <c r="F56" s="358"/>
      <c r="G56" s="358"/>
      <c r="H56" s="358"/>
      <c r="I56" s="358"/>
      <c r="J56" s="358"/>
      <c r="K56" s="359"/>
    </row>
    <row r="57" spans="1:11" s="347" customFormat="1" ht="15.95" customHeight="1">
      <c r="A57" s="348" t="s">
        <v>1185</v>
      </c>
      <c r="B57" s="349" t="s">
        <v>1186</v>
      </c>
      <c r="C57" s="350">
        <v>0.23</v>
      </c>
      <c r="D57" s="349" t="s">
        <v>1166</v>
      </c>
      <c r="E57" s="351">
        <v>309</v>
      </c>
      <c r="F57" s="351">
        <f>INT(C57*E57)</f>
        <v>71</v>
      </c>
      <c r="G57" s="351"/>
      <c r="H57" s="351"/>
      <c r="I57" s="351"/>
      <c r="J57" s="351"/>
      <c r="K57" s="352"/>
    </row>
    <row r="58" spans="1:11" s="347" customFormat="1" ht="15.95" customHeight="1">
      <c r="A58" s="348" t="s">
        <v>1187</v>
      </c>
      <c r="B58" s="349" t="s">
        <v>1188</v>
      </c>
      <c r="C58" s="350">
        <v>0.5</v>
      </c>
      <c r="D58" s="349" t="s">
        <v>1166</v>
      </c>
      <c r="E58" s="351">
        <v>216</v>
      </c>
      <c r="F58" s="351">
        <f>INT(C58*E58)</f>
        <v>108</v>
      </c>
      <c r="G58" s="351"/>
      <c r="H58" s="351"/>
      <c r="I58" s="351"/>
      <c r="J58" s="351"/>
      <c r="K58" s="352"/>
    </row>
    <row r="59" spans="1:11" s="347" customFormat="1" ht="15.95" customHeight="1">
      <c r="A59" s="348" t="s">
        <v>967</v>
      </c>
      <c r="B59" s="349"/>
      <c r="C59" s="350">
        <v>6.0000000000000001E-3</v>
      </c>
      <c r="D59" s="349" t="s">
        <v>820</v>
      </c>
      <c r="E59" s="351"/>
      <c r="F59" s="351"/>
      <c r="G59" s="351">
        <f ca="1">'11.0시중노임'!F5</f>
        <v>84404</v>
      </c>
      <c r="H59" s="351">
        <f>INT(C59*G59)</f>
        <v>506</v>
      </c>
      <c r="I59" s="351"/>
      <c r="J59" s="351"/>
      <c r="K59" s="352"/>
    </row>
    <row r="60" spans="1:11" s="347" customFormat="1" ht="15.95" customHeight="1">
      <c r="A60" s="348" t="s">
        <v>971</v>
      </c>
      <c r="B60" s="349"/>
      <c r="C60" s="350">
        <v>6.0000000000000001E-3</v>
      </c>
      <c r="D60" s="349" t="s">
        <v>820</v>
      </c>
      <c r="E60" s="351"/>
      <c r="F60" s="351"/>
      <c r="G60" s="351">
        <f ca="1">'11.0시중노임'!F6</f>
        <v>68965</v>
      </c>
      <c r="H60" s="351">
        <f>INT(C60*G60)</f>
        <v>413</v>
      </c>
      <c r="I60" s="351"/>
      <c r="J60" s="351"/>
      <c r="K60" s="352"/>
    </row>
    <row r="61" spans="1:11" s="347" customFormat="1" ht="15.95" customHeight="1">
      <c r="A61" s="522" t="s">
        <v>884</v>
      </c>
      <c r="B61" s="349" t="s">
        <v>979</v>
      </c>
      <c r="C61" s="521">
        <v>3</v>
      </c>
      <c r="D61" s="349" t="s">
        <v>965</v>
      </c>
      <c r="E61" s="351">
        <f>SUM(F57:F58)</f>
        <v>179</v>
      </c>
      <c r="F61" s="351">
        <f>INT(C61/100*E61)</f>
        <v>5</v>
      </c>
      <c r="G61" s="351"/>
      <c r="H61" s="351"/>
      <c r="I61" s="351"/>
      <c r="J61" s="351"/>
      <c r="K61" s="352"/>
    </row>
    <row r="62" spans="1:11" s="347" customFormat="1" ht="15.95" customHeight="1">
      <c r="A62" s="348" t="s">
        <v>956</v>
      </c>
      <c r="B62" s="349"/>
      <c r="C62" s="350"/>
      <c r="D62" s="349"/>
      <c r="E62" s="351"/>
      <c r="F62" s="351">
        <f>INT(SUM(F57:F61))</f>
        <v>184</v>
      </c>
      <c r="G62" s="351"/>
      <c r="H62" s="351">
        <f>INT(SUM(H57:H61))</f>
        <v>919</v>
      </c>
      <c r="I62" s="351"/>
      <c r="J62" s="351"/>
      <c r="K62" s="352">
        <f>INT(SUM(F62:J62))</f>
        <v>1103</v>
      </c>
    </row>
    <row r="63" spans="1:11" s="347" customFormat="1" ht="15.95" customHeight="1">
      <c r="A63" s="355" t="s">
        <v>1189</v>
      </c>
      <c r="B63" s="357"/>
      <c r="C63" s="356"/>
      <c r="D63" s="357"/>
      <c r="E63" s="358"/>
      <c r="F63" s="358"/>
      <c r="G63" s="358"/>
      <c r="H63" s="358"/>
      <c r="I63" s="358"/>
      <c r="J63" s="358"/>
      <c r="K63" s="359"/>
    </row>
    <row r="64" spans="1:11" s="347" customFormat="1" ht="15.95" customHeight="1">
      <c r="A64" s="348" t="s">
        <v>1190</v>
      </c>
      <c r="B64" s="349" t="s">
        <v>1191</v>
      </c>
      <c r="C64" s="350">
        <v>1.3</v>
      </c>
      <c r="D64" s="349" t="s">
        <v>1162</v>
      </c>
      <c r="E64" s="351">
        <v>3260</v>
      </c>
      <c r="F64" s="351">
        <f>INT(C64*E64)</f>
        <v>4238</v>
      </c>
      <c r="G64" s="351"/>
      <c r="H64" s="351"/>
      <c r="I64" s="351"/>
      <c r="J64" s="351"/>
      <c r="K64" s="352"/>
    </row>
    <row r="65" spans="1:11" s="347" customFormat="1" ht="15.95" customHeight="1">
      <c r="A65" s="348" t="s">
        <v>1192</v>
      </c>
      <c r="B65" s="349" t="s">
        <v>1193</v>
      </c>
      <c r="C65" s="350">
        <v>1.3</v>
      </c>
      <c r="D65" s="349" t="s">
        <v>1170</v>
      </c>
      <c r="E65" s="351">
        <v>240</v>
      </c>
      <c r="F65" s="351">
        <f>INT(C65*E65)</f>
        <v>312</v>
      </c>
      <c r="G65" s="351"/>
      <c r="H65" s="351"/>
      <c r="I65" s="351"/>
      <c r="J65" s="351"/>
      <c r="K65" s="352"/>
    </row>
    <row r="66" spans="1:11" s="347" customFormat="1" ht="15.95" customHeight="1">
      <c r="A66" s="348" t="s">
        <v>970</v>
      </c>
      <c r="B66" s="349"/>
      <c r="C66" s="350">
        <v>5.0000000000000001E-3</v>
      </c>
      <c r="D66" s="349" t="s">
        <v>820</v>
      </c>
      <c r="E66" s="351"/>
      <c r="F66" s="351"/>
      <c r="G66" s="351">
        <f ca="1">'11.0시중노임'!F4</f>
        <v>92218</v>
      </c>
      <c r="H66" s="351">
        <f>INT(C66*G66)</f>
        <v>461</v>
      </c>
      <c r="I66" s="351"/>
      <c r="J66" s="351"/>
      <c r="K66" s="352"/>
    </row>
    <row r="67" spans="1:11" s="347" customFormat="1" ht="15.95" customHeight="1">
      <c r="A67" s="348" t="s">
        <v>967</v>
      </c>
      <c r="B67" s="349"/>
      <c r="C67" s="350">
        <v>0.02</v>
      </c>
      <c r="D67" s="349" t="s">
        <v>820</v>
      </c>
      <c r="E67" s="351"/>
      <c r="F67" s="351"/>
      <c r="G67" s="351">
        <f ca="1">'11.0시중노임'!F5</f>
        <v>84404</v>
      </c>
      <c r="H67" s="351">
        <f>INT(C67*G67)</f>
        <v>1688</v>
      </c>
      <c r="I67" s="351"/>
      <c r="J67" s="351"/>
      <c r="K67" s="352"/>
    </row>
    <row r="68" spans="1:11" s="347" customFormat="1" ht="15.95" customHeight="1">
      <c r="A68" s="348" t="s">
        <v>971</v>
      </c>
      <c r="B68" s="349"/>
      <c r="C68" s="360">
        <v>0.02</v>
      </c>
      <c r="D68" s="349" t="s">
        <v>820</v>
      </c>
      <c r="E68" s="351"/>
      <c r="F68" s="351"/>
      <c r="G68" s="351">
        <f ca="1">'11.0시중노임'!F6</f>
        <v>68965</v>
      </c>
      <c r="H68" s="351">
        <f>INT(C68*G68)</f>
        <v>1379</v>
      </c>
      <c r="I68" s="351"/>
      <c r="J68" s="351"/>
      <c r="K68" s="352"/>
    </row>
    <row r="69" spans="1:11" s="347" customFormat="1" ht="15.95" customHeight="1">
      <c r="A69" s="522" t="s">
        <v>884</v>
      </c>
      <c r="B69" s="349" t="s">
        <v>979</v>
      </c>
      <c r="C69" s="521">
        <v>3</v>
      </c>
      <c r="D69" s="349" t="s">
        <v>965</v>
      </c>
      <c r="E69" s="351">
        <f>SUM(F64:F65)</f>
        <v>4550</v>
      </c>
      <c r="F69" s="351">
        <f>INT(C69/100*E69)</f>
        <v>136</v>
      </c>
      <c r="G69" s="351"/>
      <c r="H69" s="351"/>
      <c r="I69" s="351"/>
      <c r="J69" s="351"/>
      <c r="K69" s="352"/>
    </row>
    <row r="70" spans="1:11" s="347" customFormat="1" ht="15.95" customHeight="1">
      <c r="A70" s="348" t="s">
        <v>956</v>
      </c>
      <c r="B70" s="349"/>
      <c r="C70" s="361"/>
      <c r="D70" s="349"/>
      <c r="E70" s="351"/>
      <c r="F70" s="351">
        <f>INT(SUM(F64:F69))</f>
        <v>4686</v>
      </c>
      <c r="G70" s="351"/>
      <c r="H70" s="351">
        <f>INT(SUM(H64:H69))</f>
        <v>3528</v>
      </c>
      <c r="I70" s="351"/>
      <c r="J70" s="351"/>
      <c r="K70" s="352">
        <f>INT(SUM(F70:J70))</f>
        <v>8214</v>
      </c>
    </row>
    <row r="71" spans="1:11" s="347" customFormat="1" ht="15.95" customHeight="1">
      <c r="A71" s="355" t="s">
        <v>1194</v>
      </c>
      <c r="B71" s="357"/>
      <c r="C71" s="356"/>
      <c r="D71" s="357"/>
      <c r="E71" s="358"/>
      <c r="F71" s="358"/>
      <c r="G71" s="358"/>
      <c r="H71" s="358"/>
      <c r="I71" s="358"/>
      <c r="J71" s="358"/>
      <c r="K71" s="359"/>
    </row>
    <row r="72" spans="1:11" s="347" customFormat="1" ht="15.95" customHeight="1">
      <c r="A72" s="348" t="s">
        <v>1369</v>
      </c>
      <c r="B72" s="349" t="s">
        <v>1370</v>
      </c>
      <c r="C72" s="350">
        <v>0.11</v>
      </c>
      <c r="D72" s="349" t="s">
        <v>1196</v>
      </c>
      <c r="E72" s="351">
        <v>30000</v>
      </c>
      <c r="F72" s="351">
        <f>INT(C72*E72)</f>
        <v>3300</v>
      </c>
      <c r="G72" s="351"/>
      <c r="H72" s="351"/>
      <c r="I72" s="351"/>
      <c r="J72" s="351"/>
      <c r="K72" s="352"/>
    </row>
    <row r="73" spans="1:11" s="347" customFormat="1" ht="15.95" customHeight="1">
      <c r="A73" s="348" t="s">
        <v>1197</v>
      </c>
      <c r="B73" s="349" t="s">
        <v>1198</v>
      </c>
      <c r="C73" s="350">
        <v>120</v>
      </c>
      <c r="D73" s="349" t="s">
        <v>1199</v>
      </c>
      <c r="E73" s="351">
        <v>7</v>
      </c>
      <c r="F73" s="351">
        <f>INT(C73*E73)</f>
        <v>840</v>
      </c>
      <c r="G73" s="351"/>
      <c r="H73" s="351"/>
      <c r="I73" s="351"/>
      <c r="J73" s="351"/>
      <c r="K73" s="352"/>
    </row>
    <row r="74" spans="1:11" s="347" customFormat="1" ht="15.95" customHeight="1">
      <c r="A74" s="348" t="s">
        <v>1200</v>
      </c>
      <c r="B74" s="349" t="s">
        <v>1201</v>
      </c>
      <c r="C74" s="350">
        <v>0.08</v>
      </c>
      <c r="D74" s="349" t="s">
        <v>1179</v>
      </c>
      <c r="E74" s="351"/>
      <c r="F74" s="351"/>
      <c r="G74" s="351"/>
      <c r="H74" s="351"/>
      <c r="I74" s="351">
        <f ca="1">'9.0중기목록'!D6</f>
        <v>24973</v>
      </c>
      <c r="J74" s="351">
        <f t="shared" ref="J74:J79" si="0">INT(C74*I74)</f>
        <v>1997</v>
      </c>
      <c r="K74" s="352"/>
    </row>
    <row r="75" spans="1:11" s="347" customFormat="1" ht="15.95" customHeight="1">
      <c r="A75" s="348" t="s">
        <v>1202</v>
      </c>
      <c r="B75" s="349" t="s">
        <v>1203</v>
      </c>
      <c r="C75" s="350">
        <v>0.08</v>
      </c>
      <c r="D75" s="349" t="s">
        <v>1179</v>
      </c>
      <c r="E75" s="351">
        <v>23263</v>
      </c>
      <c r="F75" s="351">
        <f>INT(C75*E75)</f>
        <v>1861</v>
      </c>
      <c r="G75" s="351">
        <v>16253</v>
      </c>
      <c r="H75" s="351">
        <f t="shared" ref="H75:H83" si="1">INT(C75*G75)</f>
        <v>1300</v>
      </c>
      <c r="I75" s="351">
        <v>7905</v>
      </c>
      <c r="J75" s="351">
        <f t="shared" si="0"/>
        <v>632</v>
      </c>
      <c r="K75" s="352"/>
    </row>
    <row r="76" spans="1:11" s="347" customFormat="1" ht="15.95" customHeight="1">
      <c r="A76" s="348" t="s">
        <v>1177</v>
      </c>
      <c r="B76" s="349" t="s">
        <v>1178</v>
      </c>
      <c r="C76" s="350">
        <v>0.08</v>
      </c>
      <c r="D76" s="349" t="s">
        <v>1179</v>
      </c>
      <c r="E76" s="351">
        <v>11372</v>
      </c>
      <c r="F76" s="351">
        <f>INT(C76*E76)</f>
        <v>909</v>
      </c>
      <c r="G76" s="351">
        <v>12817</v>
      </c>
      <c r="H76" s="351">
        <f t="shared" si="1"/>
        <v>1025</v>
      </c>
      <c r="I76" s="351">
        <v>4678</v>
      </c>
      <c r="J76" s="351">
        <f t="shared" si="0"/>
        <v>374</v>
      </c>
      <c r="K76" s="352"/>
    </row>
    <row r="77" spans="1:11" s="347" customFormat="1" ht="15.95" customHeight="1">
      <c r="A77" s="348" t="s">
        <v>1204</v>
      </c>
      <c r="B77" s="349" t="s">
        <v>1205</v>
      </c>
      <c r="C77" s="350">
        <v>0.09</v>
      </c>
      <c r="D77" s="349" t="s">
        <v>1179</v>
      </c>
      <c r="E77" s="351">
        <f ca="1">'9.0중기목록'!F12</f>
        <v>6640</v>
      </c>
      <c r="F77" s="351">
        <f ca="1">INT(C77*E77)</f>
        <v>597</v>
      </c>
      <c r="G77" s="351">
        <f ca="1">'9.0중기목록'!E12</f>
        <v>17696</v>
      </c>
      <c r="H77" s="351">
        <f t="shared" si="1"/>
        <v>1592</v>
      </c>
      <c r="I77" s="351">
        <f ca="1">'9.0중기목록'!G12</f>
        <v>10362</v>
      </c>
      <c r="J77" s="351">
        <f t="shared" si="0"/>
        <v>932</v>
      </c>
      <c r="K77" s="352"/>
    </row>
    <row r="78" spans="1:11" s="347" customFormat="1" ht="15.95" customHeight="1">
      <c r="A78" s="348" t="s">
        <v>1206</v>
      </c>
      <c r="B78" s="349" t="s">
        <v>1207</v>
      </c>
      <c r="C78" s="350">
        <v>0.08</v>
      </c>
      <c r="D78" s="349" t="s">
        <v>1179</v>
      </c>
      <c r="E78" s="351">
        <f ca="1">'9.0중기목록'!F14</f>
        <v>13117</v>
      </c>
      <c r="F78" s="351">
        <f ca="1">INT(C78*E78)</f>
        <v>1049</v>
      </c>
      <c r="G78" s="351">
        <f ca="1">'9.0중기목록'!E14</f>
        <v>17696</v>
      </c>
      <c r="H78" s="351">
        <f t="shared" si="1"/>
        <v>1415</v>
      </c>
      <c r="I78" s="351">
        <f ca="1">'9.0중기목록'!G14</f>
        <v>7823</v>
      </c>
      <c r="J78" s="351">
        <f t="shared" si="0"/>
        <v>625</v>
      </c>
      <c r="K78" s="352"/>
    </row>
    <row r="79" spans="1:11" s="347" customFormat="1" ht="15.95" customHeight="1">
      <c r="A79" s="348" t="s">
        <v>817</v>
      </c>
      <c r="B79" s="349" t="s">
        <v>1208</v>
      </c>
      <c r="C79" s="350">
        <v>0.08</v>
      </c>
      <c r="D79" s="349" t="s">
        <v>1179</v>
      </c>
      <c r="E79" s="351">
        <f ca="1">'9.0중기목록'!F26</f>
        <v>10468</v>
      </c>
      <c r="F79" s="351">
        <f ca="1">INT(C79*E79)</f>
        <v>837</v>
      </c>
      <c r="G79" s="351">
        <f ca="1">'9.0중기목록'!E16</f>
        <v>17696</v>
      </c>
      <c r="H79" s="351">
        <f t="shared" si="1"/>
        <v>1415</v>
      </c>
      <c r="I79" s="351">
        <f ca="1">'9.0중기목록'!G16</f>
        <v>6117</v>
      </c>
      <c r="J79" s="351">
        <f t="shared" si="0"/>
        <v>489</v>
      </c>
      <c r="K79" s="352"/>
    </row>
    <row r="80" spans="1:11" s="347" customFormat="1" ht="15.95" customHeight="1">
      <c r="A80" s="348" t="s">
        <v>970</v>
      </c>
      <c r="B80" s="349"/>
      <c r="C80" s="350">
        <v>8.0000000000000002E-3</v>
      </c>
      <c r="D80" s="349" t="s">
        <v>820</v>
      </c>
      <c r="E80" s="350"/>
      <c r="F80" s="351"/>
      <c r="G80" s="351">
        <f ca="1">'11.0시중노임'!F4</f>
        <v>92218</v>
      </c>
      <c r="H80" s="351">
        <f t="shared" si="1"/>
        <v>737</v>
      </c>
      <c r="I80" s="351"/>
      <c r="J80" s="351"/>
      <c r="K80" s="352"/>
    </row>
    <row r="81" spans="1:11" s="347" customFormat="1" ht="15.95" customHeight="1">
      <c r="A81" s="348" t="s">
        <v>967</v>
      </c>
      <c r="B81" s="349"/>
      <c r="C81" s="350">
        <v>3.5000000000000003E-2</v>
      </c>
      <c r="D81" s="349" t="s">
        <v>820</v>
      </c>
      <c r="E81" s="350"/>
      <c r="F81" s="351"/>
      <c r="G81" s="351">
        <f ca="1">'11.0시중노임'!F5</f>
        <v>84404</v>
      </c>
      <c r="H81" s="351">
        <f t="shared" si="1"/>
        <v>2954</v>
      </c>
      <c r="I81" s="351"/>
      <c r="J81" s="351"/>
      <c r="K81" s="352"/>
    </row>
    <row r="82" spans="1:11" s="347" customFormat="1" ht="15.95" customHeight="1">
      <c r="A82" s="348" t="s">
        <v>1209</v>
      </c>
      <c r="B82" s="349"/>
      <c r="C82" s="350">
        <v>8.0000000000000002E-3</v>
      </c>
      <c r="D82" s="349" t="s">
        <v>820</v>
      </c>
      <c r="E82" s="350"/>
      <c r="F82" s="351"/>
      <c r="G82" s="351">
        <f ca="1">'11.0시중노임'!F12</f>
        <v>86521</v>
      </c>
      <c r="H82" s="351">
        <f t="shared" si="1"/>
        <v>692</v>
      </c>
      <c r="I82" s="351"/>
      <c r="J82" s="351"/>
      <c r="K82" s="352"/>
    </row>
    <row r="83" spans="1:11" s="347" customFormat="1" ht="15.95" customHeight="1">
      <c r="A83" s="348" t="s">
        <v>971</v>
      </c>
      <c r="B83" s="349"/>
      <c r="C83" s="350">
        <v>7.0000000000000007E-2</v>
      </c>
      <c r="D83" s="349" t="s">
        <v>820</v>
      </c>
      <c r="E83" s="350"/>
      <c r="F83" s="351"/>
      <c r="G83" s="351">
        <f ca="1">'11.0시중노임'!F6</f>
        <v>68965</v>
      </c>
      <c r="H83" s="351">
        <f t="shared" si="1"/>
        <v>4827</v>
      </c>
      <c r="I83" s="351"/>
      <c r="J83" s="351"/>
      <c r="K83" s="352"/>
    </row>
    <row r="84" spans="1:11" s="347" customFormat="1" ht="15.95" customHeight="1">
      <c r="A84" s="522" t="s">
        <v>1367</v>
      </c>
      <c r="B84" s="349" t="s">
        <v>979</v>
      </c>
      <c r="C84" s="521">
        <v>3</v>
      </c>
      <c r="D84" s="349" t="s">
        <v>965</v>
      </c>
      <c r="E84" s="351">
        <f>SUM(F72:F73)</f>
        <v>4140</v>
      </c>
      <c r="F84" s="351">
        <f>INT(C84/100*E84)</f>
        <v>124</v>
      </c>
      <c r="G84" s="351"/>
      <c r="H84" s="351"/>
      <c r="I84" s="351"/>
      <c r="J84" s="351"/>
      <c r="K84" s="352"/>
    </row>
    <row r="85" spans="1:11" s="347" customFormat="1" ht="15.95" customHeight="1">
      <c r="A85" s="522" t="s">
        <v>1368</v>
      </c>
      <c r="B85" s="349" t="s">
        <v>980</v>
      </c>
      <c r="C85" s="521">
        <v>2</v>
      </c>
      <c r="D85" s="349" t="s">
        <v>965</v>
      </c>
      <c r="E85" s="351"/>
      <c r="F85" s="351"/>
      <c r="G85" s="351"/>
      <c r="H85" s="351"/>
      <c r="I85" s="351">
        <f>SUM(H80:H83)</f>
        <v>9210</v>
      </c>
      <c r="J85" s="351">
        <f>INT(C85/100*I85)</f>
        <v>184</v>
      </c>
      <c r="K85" s="352"/>
    </row>
    <row r="86" spans="1:11" s="347" customFormat="1" ht="15.95" customHeight="1">
      <c r="A86" s="348" t="s">
        <v>956</v>
      </c>
      <c r="B86" s="349"/>
      <c r="C86" s="350"/>
      <c r="D86" s="349"/>
      <c r="E86" s="350"/>
      <c r="F86" s="351">
        <f>INT(SUM(F72:F85))</f>
        <v>9517</v>
      </c>
      <c r="G86" s="351"/>
      <c r="H86" s="351">
        <f>INT(SUM(H72:H85))</f>
        <v>15957</v>
      </c>
      <c r="I86" s="351"/>
      <c r="J86" s="351">
        <f>INT(SUM(J72:J85))</f>
        <v>5233</v>
      </c>
      <c r="K86" s="352">
        <f>INT(SUM(F86:J86))</f>
        <v>30707</v>
      </c>
    </row>
    <row r="87" spans="1:11" s="528" customFormat="1" ht="15.95" customHeight="1">
      <c r="A87" s="523" t="s">
        <v>1215</v>
      </c>
      <c r="B87" s="524"/>
      <c r="C87" s="524"/>
      <c r="D87" s="525"/>
      <c r="E87" s="524"/>
      <c r="F87" s="526">
        <f>F86+F70+F62+F55</f>
        <v>14609</v>
      </c>
      <c r="G87" s="526"/>
      <c r="H87" s="526">
        <f>H86+H70+H62+H55</f>
        <v>22428</v>
      </c>
      <c r="I87" s="526"/>
      <c r="J87" s="526">
        <f>J86+J70+J62+J55</f>
        <v>5400</v>
      </c>
      <c r="K87" s="527">
        <f>INT(SUM(F87:J87))</f>
        <v>42437</v>
      </c>
    </row>
    <row r="88" spans="1:11" ht="15.95" customHeight="1">
      <c r="A88" s="1804" t="s">
        <v>1372</v>
      </c>
      <c r="B88" s="1804"/>
      <c r="C88" s="1804"/>
      <c r="D88" s="1804"/>
      <c r="E88" s="1804"/>
      <c r="F88" s="1804"/>
      <c r="G88" s="1804"/>
      <c r="H88" s="1804"/>
      <c r="I88" s="1804"/>
      <c r="J88" s="1804"/>
      <c r="K88" s="1804"/>
    </row>
    <row r="89" spans="1:11" s="347" customFormat="1" ht="15.95" customHeight="1">
      <c r="A89" s="343" t="s">
        <v>1171</v>
      </c>
      <c r="B89" s="344"/>
      <c r="C89" s="344"/>
      <c r="D89" s="345"/>
      <c r="E89" s="344"/>
      <c r="F89" s="344"/>
      <c r="G89" s="344"/>
      <c r="H89" s="344"/>
      <c r="I89" s="344"/>
      <c r="J89" s="344"/>
      <c r="K89" s="346"/>
    </row>
    <row r="90" spans="1:11" s="347" customFormat="1" ht="15.95" customHeight="1">
      <c r="A90" s="1803" t="s">
        <v>1172</v>
      </c>
      <c r="B90" s="1797" t="s">
        <v>982</v>
      </c>
      <c r="C90" s="1797" t="s">
        <v>1173</v>
      </c>
      <c r="D90" s="1797" t="s">
        <v>983</v>
      </c>
      <c r="E90" s="1797" t="s">
        <v>815</v>
      </c>
      <c r="F90" s="1797"/>
      <c r="G90" s="1797" t="s">
        <v>814</v>
      </c>
      <c r="H90" s="1797"/>
      <c r="I90" s="1797" t="s">
        <v>816</v>
      </c>
      <c r="J90" s="1797"/>
      <c r="K90" s="1800" t="s">
        <v>1174</v>
      </c>
    </row>
    <row r="91" spans="1:11" s="347" customFormat="1" ht="15.95" customHeight="1">
      <c r="A91" s="1803"/>
      <c r="B91" s="1797"/>
      <c r="C91" s="1797"/>
      <c r="D91" s="1797"/>
      <c r="E91" s="349" t="s">
        <v>1175</v>
      </c>
      <c r="F91" s="349" t="s">
        <v>1176</v>
      </c>
      <c r="G91" s="349" t="s">
        <v>1175</v>
      </c>
      <c r="H91" s="349" t="s">
        <v>1176</v>
      </c>
      <c r="I91" s="349" t="s">
        <v>1175</v>
      </c>
      <c r="J91" s="349" t="s">
        <v>1176</v>
      </c>
      <c r="K91" s="1800"/>
    </row>
    <row r="92" spans="1:11" s="347" customFormat="1" ht="15.95" customHeight="1">
      <c r="A92" s="348" t="s">
        <v>1177</v>
      </c>
      <c r="B92" s="349" t="s">
        <v>1178</v>
      </c>
      <c r="C92" s="350">
        <v>2.5999999999999999E-2</v>
      </c>
      <c r="D92" s="349" t="s">
        <v>1179</v>
      </c>
      <c r="E92" s="351">
        <v>11372</v>
      </c>
      <c r="F92" s="351">
        <f>INT(C92*E92)</f>
        <v>295</v>
      </c>
      <c r="G92" s="351">
        <v>12817</v>
      </c>
      <c r="H92" s="351">
        <f>INT(C92*G92)</f>
        <v>333</v>
      </c>
      <c r="I92" s="351">
        <v>4678</v>
      </c>
      <c r="J92" s="351">
        <f>INT(C92*I92)</f>
        <v>121</v>
      </c>
      <c r="K92" s="352"/>
    </row>
    <row r="93" spans="1:11" s="347" customFormat="1" ht="15.95" customHeight="1">
      <c r="A93" s="348" t="s">
        <v>1180</v>
      </c>
      <c r="B93" s="353"/>
      <c r="C93" s="350">
        <v>1.6E-2</v>
      </c>
      <c r="D93" s="349" t="s">
        <v>820</v>
      </c>
      <c r="E93" s="351"/>
      <c r="F93" s="351"/>
      <c r="G93" s="351">
        <f ca="1">'11.0시중노임'!F3</f>
        <v>79533</v>
      </c>
      <c r="H93" s="351">
        <f>INT(C93*G93)</f>
        <v>1272</v>
      </c>
      <c r="I93" s="351"/>
      <c r="J93" s="351"/>
      <c r="K93" s="352"/>
    </row>
    <row r="94" spans="1:11" s="347" customFormat="1" ht="15.95" customHeight="1">
      <c r="A94" s="348" t="s">
        <v>971</v>
      </c>
      <c r="B94" s="349"/>
      <c r="C94" s="350">
        <v>1.6E-2</v>
      </c>
      <c r="D94" s="349" t="s">
        <v>820</v>
      </c>
      <c r="E94" s="351"/>
      <c r="F94" s="351"/>
      <c r="G94" s="351">
        <f ca="1">'11.0시중노임'!F6</f>
        <v>68965</v>
      </c>
      <c r="H94" s="351">
        <f>INT(C94*G94)</f>
        <v>1103</v>
      </c>
      <c r="I94" s="351"/>
      <c r="J94" s="351"/>
      <c r="K94" s="352"/>
    </row>
    <row r="95" spans="1:11" s="347" customFormat="1" ht="15.95" customHeight="1">
      <c r="A95" s="354" t="s">
        <v>1181</v>
      </c>
      <c r="B95" s="349" t="s">
        <v>1366</v>
      </c>
      <c r="C95" s="350">
        <v>2.5</v>
      </c>
      <c r="D95" s="349" t="s">
        <v>965</v>
      </c>
      <c r="E95" s="351"/>
      <c r="F95" s="351"/>
      <c r="G95" s="351"/>
      <c r="H95" s="351"/>
      <c r="I95" s="351">
        <f>SUM(H93:H94)</f>
        <v>2375</v>
      </c>
      <c r="J95" s="351">
        <f>INT(C95/100*I95)</f>
        <v>59</v>
      </c>
      <c r="K95" s="352"/>
    </row>
    <row r="96" spans="1:11" s="347" customFormat="1" ht="15.95" customHeight="1">
      <c r="A96" s="522" t="s">
        <v>1367</v>
      </c>
      <c r="B96" s="349" t="s">
        <v>979</v>
      </c>
      <c r="C96" s="521">
        <v>3</v>
      </c>
      <c r="D96" s="349" t="s">
        <v>965</v>
      </c>
      <c r="E96" s="351">
        <f>F92</f>
        <v>295</v>
      </c>
      <c r="F96" s="351">
        <f>INT(C96/100*E96)</f>
        <v>8</v>
      </c>
      <c r="G96" s="351"/>
      <c r="H96" s="351"/>
      <c r="I96" s="351"/>
      <c r="J96" s="351"/>
      <c r="K96" s="352"/>
    </row>
    <row r="97" spans="1:11" s="347" customFormat="1" ht="15.95" customHeight="1">
      <c r="A97" s="522" t="s">
        <v>1368</v>
      </c>
      <c r="B97" s="349" t="s">
        <v>1366</v>
      </c>
      <c r="C97" s="521">
        <v>2</v>
      </c>
      <c r="D97" s="349" t="s">
        <v>965</v>
      </c>
      <c r="E97" s="351"/>
      <c r="F97" s="351"/>
      <c r="G97" s="351"/>
      <c r="H97" s="351"/>
      <c r="I97" s="351">
        <f>SUM(H93:H94)</f>
        <v>2375</v>
      </c>
      <c r="J97" s="351">
        <f>INT(C97/100*I97)</f>
        <v>47</v>
      </c>
      <c r="K97" s="352"/>
    </row>
    <row r="98" spans="1:11" s="347" customFormat="1" ht="15.95" customHeight="1">
      <c r="A98" s="348" t="s">
        <v>956</v>
      </c>
      <c r="B98" s="349"/>
      <c r="C98" s="350"/>
      <c r="D98" s="349"/>
      <c r="E98" s="351"/>
      <c r="F98" s="351">
        <f>SUM(F92:F97)</f>
        <v>303</v>
      </c>
      <c r="G98" s="351"/>
      <c r="H98" s="351">
        <f>SUM(H92:H97)</f>
        <v>2708</v>
      </c>
      <c r="I98" s="351"/>
      <c r="J98" s="351">
        <f>SUM(J92:J97)</f>
        <v>227</v>
      </c>
      <c r="K98" s="352">
        <f>INT(SUM(F98:J98))</f>
        <v>3238</v>
      </c>
    </row>
    <row r="99" spans="1:11" s="347" customFormat="1" ht="15.95" customHeight="1">
      <c r="A99" s="355" t="s">
        <v>1184</v>
      </c>
      <c r="B99" s="356"/>
      <c r="C99" s="356"/>
      <c r="D99" s="357"/>
      <c r="E99" s="358"/>
      <c r="F99" s="358"/>
      <c r="G99" s="358"/>
      <c r="H99" s="358"/>
      <c r="I99" s="358"/>
      <c r="J99" s="358"/>
      <c r="K99" s="359"/>
    </row>
    <row r="100" spans="1:11" s="347" customFormat="1" ht="15.95" customHeight="1">
      <c r="A100" s="348" t="s">
        <v>1185</v>
      </c>
      <c r="B100" s="349" t="s">
        <v>1217</v>
      </c>
      <c r="C100" s="350">
        <v>0.46</v>
      </c>
      <c r="D100" s="349" t="s">
        <v>1166</v>
      </c>
      <c r="E100" s="351">
        <v>309</v>
      </c>
      <c r="F100" s="351">
        <f>INT(C100*E100)</f>
        <v>142</v>
      </c>
      <c r="G100" s="351"/>
      <c r="H100" s="351"/>
      <c r="I100" s="351"/>
      <c r="J100" s="351"/>
      <c r="K100" s="352"/>
    </row>
    <row r="101" spans="1:11" s="347" customFormat="1" ht="15.95" customHeight="1">
      <c r="A101" s="348" t="s">
        <v>1187</v>
      </c>
      <c r="B101" s="349" t="s">
        <v>1188</v>
      </c>
      <c r="C101" s="350">
        <v>0.5</v>
      </c>
      <c r="D101" s="349" t="s">
        <v>1166</v>
      </c>
      <c r="E101" s="351">
        <v>216</v>
      </c>
      <c r="F101" s="351">
        <f>INT(C101*E101)</f>
        <v>108</v>
      </c>
      <c r="G101" s="351"/>
      <c r="H101" s="351"/>
      <c r="I101" s="351"/>
      <c r="J101" s="351"/>
      <c r="K101" s="352"/>
    </row>
    <row r="102" spans="1:11" s="347" customFormat="1" ht="15.95" customHeight="1">
      <c r="A102" s="348" t="s">
        <v>967</v>
      </c>
      <c r="B102" s="349"/>
      <c r="C102" s="350">
        <v>8.0000000000000002E-3</v>
      </c>
      <c r="D102" s="349" t="s">
        <v>820</v>
      </c>
      <c r="E102" s="351"/>
      <c r="F102" s="351"/>
      <c r="G102" s="351">
        <f ca="1">'11.0시중노임'!F5</f>
        <v>84404</v>
      </c>
      <c r="H102" s="351">
        <f>INT(C102*G102)</f>
        <v>675</v>
      </c>
      <c r="I102" s="351"/>
      <c r="J102" s="351"/>
      <c r="K102" s="352"/>
    </row>
    <row r="103" spans="1:11" s="347" customFormat="1" ht="15.95" customHeight="1">
      <c r="A103" s="348" t="s">
        <v>971</v>
      </c>
      <c r="B103" s="349"/>
      <c r="C103" s="350">
        <v>8.0000000000000002E-3</v>
      </c>
      <c r="D103" s="349" t="s">
        <v>820</v>
      </c>
      <c r="E103" s="351"/>
      <c r="F103" s="351"/>
      <c r="G103" s="351">
        <f ca="1">'11.0시중노임'!F6</f>
        <v>68965</v>
      </c>
      <c r="H103" s="351">
        <f>INT(C103*G103)</f>
        <v>551</v>
      </c>
      <c r="I103" s="351"/>
      <c r="J103" s="351"/>
      <c r="K103" s="352"/>
    </row>
    <row r="104" spans="1:11" s="347" customFormat="1" ht="15.95" customHeight="1">
      <c r="A104" s="522" t="s">
        <v>884</v>
      </c>
      <c r="B104" s="349" t="s">
        <v>979</v>
      </c>
      <c r="C104" s="521">
        <v>3</v>
      </c>
      <c r="D104" s="349" t="s">
        <v>965</v>
      </c>
      <c r="E104" s="351">
        <f>SUM(F100:F101)</f>
        <v>250</v>
      </c>
      <c r="F104" s="351">
        <f>INT(C104/100*E104)</f>
        <v>7</v>
      </c>
      <c r="G104" s="351"/>
      <c r="H104" s="351"/>
      <c r="I104" s="351"/>
      <c r="J104" s="351"/>
      <c r="K104" s="352"/>
    </row>
    <row r="105" spans="1:11" s="347" customFormat="1" ht="15.95" customHeight="1">
      <c r="A105" s="348" t="s">
        <v>956</v>
      </c>
      <c r="B105" s="349"/>
      <c r="C105" s="350"/>
      <c r="D105" s="349"/>
      <c r="E105" s="351"/>
      <c r="F105" s="351">
        <f>INT(SUM(F100:F104))</f>
        <v>257</v>
      </c>
      <c r="G105" s="351"/>
      <c r="H105" s="351">
        <f>INT(SUM(H100:H104))</f>
        <v>1226</v>
      </c>
      <c r="I105" s="351"/>
      <c r="J105" s="351"/>
      <c r="K105" s="352">
        <f>INT(SUM(F105:J105))</f>
        <v>1483</v>
      </c>
    </row>
    <row r="106" spans="1:11" s="347" customFormat="1" ht="15.95" customHeight="1">
      <c r="A106" s="355" t="s">
        <v>1189</v>
      </c>
      <c r="B106" s="357"/>
      <c r="C106" s="356"/>
      <c r="D106" s="357"/>
      <c r="E106" s="358"/>
      <c r="F106" s="358"/>
      <c r="G106" s="358"/>
      <c r="H106" s="358"/>
      <c r="I106" s="358"/>
      <c r="J106" s="358"/>
      <c r="K106" s="359"/>
    </row>
    <row r="107" spans="1:11" s="347" customFormat="1" ht="15.95" customHeight="1">
      <c r="A107" s="348" t="s">
        <v>1190</v>
      </c>
      <c r="B107" s="349" t="s">
        <v>1191</v>
      </c>
      <c r="C107" s="350">
        <v>1.3</v>
      </c>
      <c r="D107" s="349" t="s">
        <v>1162</v>
      </c>
      <c r="E107" s="351">
        <v>3260</v>
      </c>
      <c r="F107" s="351">
        <f>INT(C107*E107)</f>
        <v>4238</v>
      </c>
      <c r="G107" s="351"/>
      <c r="H107" s="351"/>
      <c r="I107" s="351"/>
      <c r="J107" s="351"/>
      <c r="K107" s="352"/>
    </row>
    <row r="108" spans="1:11" s="347" customFormat="1" ht="15.95" customHeight="1">
      <c r="A108" s="348" t="s">
        <v>1192</v>
      </c>
      <c r="B108" s="349" t="s">
        <v>1193</v>
      </c>
      <c r="C108" s="350">
        <v>1.7</v>
      </c>
      <c r="D108" s="349" t="s">
        <v>1170</v>
      </c>
      <c r="E108" s="351">
        <v>240</v>
      </c>
      <c r="F108" s="351">
        <f>INT(C108*E108)</f>
        <v>408</v>
      </c>
      <c r="G108" s="351"/>
      <c r="H108" s="351"/>
      <c r="I108" s="351"/>
      <c r="J108" s="351"/>
      <c r="K108" s="352"/>
    </row>
    <row r="109" spans="1:11" s="347" customFormat="1" ht="15.95" customHeight="1">
      <c r="A109" s="348" t="s">
        <v>970</v>
      </c>
      <c r="B109" s="349"/>
      <c r="C109" s="350">
        <v>5.0000000000000001E-3</v>
      </c>
      <c r="D109" s="349" t="s">
        <v>820</v>
      </c>
      <c r="E109" s="351"/>
      <c r="F109" s="351"/>
      <c r="G109" s="351">
        <f ca="1">'11.0시중노임'!F4</f>
        <v>92218</v>
      </c>
      <c r="H109" s="351">
        <f>INT(C109*G109)</f>
        <v>461</v>
      </c>
      <c r="I109" s="351"/>
      <c r="J109" s="351"/>
      <c r="K109" s="352"/>
    </row>
    <row r="110" spans="1:11" s="347" customFormat="1" ht="15.95" customHeight="1">
      <c r="A110" s="348" t="s">
        <v>967</v>
      </c>
      <c r="B110" s="349"/>
      <c r="C110" s="350">
        <v>0.02</v>
      </c>
      <c r="D110" s="349" t="s">
        <v>820</v>
      </c>
      <c r="E110" s="351"/>
      <c r="F110" s="351"/>
      <c r="G110" s="351">
        <f ca="1">'11.0시중노임'!F5</f>
        <v>84404</v>
      </c>
      <c r="H110" s="351">
        <f>INT(C110*G110)</f>
        <v>1688</v>
      </c>
      <c r="I110" s="351"/>
      <c r="J110" s="351"/>
      <c r="K110" s="352"/>
    </row>
    <row r="111" spans="1:11" s="347" customFormat="1" ht="15.95" customHeight="1">
      <c r="A111" s="348" t="s">
        <v>971</v>
      </c>
      <c r="B111" s="349"/>
      <c r="C111" s="360">
        <v>0.02</v>
      </c>
      <c r="D111" s="349" t="s">
        <v>820</v>
      </c>
      <c r="E111" s="351"/>
      <c r="F111" s="351"/>
      <c r="G111" s="351">
        <f ca="1">'11.0시중노임'!F6</f>
        <v>68965</v>
      </c>
      <c r="H111" s="351">
        <f>INT(C111*G111)</f>
        <v>1379</v>
      </c>
      <c r="I111" s="351"/>
      <c r="J111" s="351"/>
      <c r="K111" s="352"/>
    </row>
    <row r="112" spans="1:11" s="347" customFormat="1" ht="15.95" customHeight="1">
      <c r="A112" s="522" t="s">
        <v>884</v>
      </c>
      <c r="B112" s="349" t="s">
        <v>979</v>
      </c>
      <c r="C112" s="521">
        <v>3</v>
      </c>
      <c r="D112" s="349" t="s">
        <v>965</v>
      </c>
      <c r="E112" s="351">
        <f>SUM(F107:F108)</f>
        <v>4646</v>
      </c>
      <c r="F112" s="351">
        <f>INT(C112/100*E112)</f>
        <v>139</v>
      </c>
      <c r="G112" s="351"/>
      <c r="H112" s="351"/>
      <c r="I112" s="351"/>
      <c r="J112" s="351"/>
      <c r="K112" s="352"/>
    </row>
    <row r="113" spans="1:11" s="347" customFormat="1" ht="15.95" customHeight="1">
      <c r="A113" s="348" t="s">
        <v>956</v>
      </c>
      <c r="B113" s="349"/>
      <c r="C113" s="361"/>
      <c r="D113" s="349"/>
      <c r="E113" s="351"/>
      <c r="F113" s="351">
        <f>INT(SUM(F107:F112))</f>
        <v>4785</v>
      </c>
      <c r="G113" s="351"/>
      <c r="H113" s="351">
        <f>INT(SUM(H107:H112))</f>
        <v>3528</v>
      </c>
      <c r="I113" s="351"/>
      <c r="J113" s="351"/>
      <c r="K113" s="352">
        <f>INT(SUM(F113:J113))</f>
        <v>8313</v>
      </c>
    </row>
    <row r="114" spans="1:11" s="347" customFormat="1" ht="15.95" customHeight="1">
      <c r="A114" s="355" t="s">
        <v>1194</v>
      </c>
      <c r="B114" s="357"/>
      <c r="C114" s="356"/>
      <c r="D114" s="357"/>
      <c r="E114" s="358"/>
      <c r="F114" s="358"/>
      <c r="G114" s="358"/>
      <c r="H114" s="358"/>
      <c r="I114" s="358"/>
      <c r="J114" s="358"/>
      <c r="K114" s="359"/>
    </row>
    <row r="115" spans="1:11" s="347" customFormat="1" ht="15.95" customHeight="1">
      <c r="A115" s="348" t="s">
        <v>1369</v>
      </c>
      <c r="B115" s="349" t="s">
        <v>1370</v>
      </c>
      <c r="C115" s="350">
        <v>0.16500000000000001</v>
      </c>
      <c r="D115" s="349" t="s">
        <v>1196</v>
      </c>
      <c r="E115" s="351">
        <v>30000</v>
      </c>
      <c r="F115" s="351">
        <f>INT(C115*E115)</f>
        <v>4950</v>
      </c>
      <c r="G115" s="351"/>
      <c r="H115" s="351"/>
      <c r="I115" s="351"/>
      <c r="J115" s="351"/>
      <c r="K115" s="352"/>
    </row>
    <row r="116" spans="1:11" s="347" customFormat="1" ht="15.95" customHeight="1">
      <c r="A116" s="348" t="s">
        <v>1197</v>
      </c>
      <c r="B116" s="349" t="s">
        <v>1198</v>
      </c>
      <c r="C116" s="350">
        <v>180</v>
      </c>
      <c r="D116" s="349" t="s">
        <v>1199</v>
      </c>
      <c r="E116" s="351">
        <v>7</v>
      </c>
      <c r="F116" s="351">
        <f>INT(C116*E116)</f>
        <v>1260</v>
      </c>
      <c r="G116" s="351"/>
      <c r="H116" s="351"/>
      <c r="I116" s="351"/>
      <c r="J116" s="351"/>
      <c r="K116" s="352"/>
    </row>
    <row r="117" spans="1:11" s="347" customFormat="1" ht="15.95" customHeight="1">
      <c r="A117" s="348" t="s">
        <v>1200</v>
      </c>
      <c r="B117" s="349" t="s">
        <v>1201</v>
      </c>
      <c r="C117" s="350">
        <v>0.1</v>
      </c>
      <c r="D117" s="349" t="s">
        <v>1179</v>
      </c>
      <c r="E117" s="351"/>
      <c r="F117" s="351"/>
      <c r="G117" s="351"/>
      <c r="H117" s="351"/>
      <c r="I117" s="351">
        <f ca="1">'9.0중기목록'!D6</f>
        <v>24973</v>
      </c>
      <c r="J117" s="351">
        <f t="shared" ref="J117:J122" si="2">INT(C117*I117)</f>
        <v>2497</v>
      </c>
      <c r="K117" s="352"/>
    </row>
    <row r="118" spans="1:11" s="347" customFormat="1" ht="15.95" customHeight="1">
      <c r="A118" s="348" t="s">
        <v>1202</v>
      </c>
      <c r="B118" s="349" t="s">
        <v>1203</v>
      </c>
      <c r="C118" s="350">
        <v>0.1</v>
      </c>
      <c r="D118" s="349" t="s">
        <v>1179</v>
      </c>
      <c r="E118" s="351">
        <v>23263</v>
      </c>
      <c r="F118" s="351">
        <f>INT(C118*E118)</f>
        <v>2326</v>
      </c>
      <c r="G118" s="351">
        <v>16253</v>
      </c>
      <c r="H118" s="351">
        <f t="shared" ref="H118:H126" si="3">INT(C118*G118)</f>
        <v>1625</v>
      </c>
      <c r="I118" s="351">
        <v>7905</v>
      </c>
      <c r="J118" s="351">
        <f t="shared" si="2"/>
        <v>790</v>
      </c>
      <c r="K118" s="352"/>
    </row>
    <row r="119" spans="1:11" s="347" customFormat="1" ht="15.95" customHeight="1">
      <c r="A119" s="348" t="s">
        <v>1177</v>
      </c>
      <c r="B119" s="349" t="s">
        <v>1178</v>
      </c>
      <c r="C119" s="350">
        <v>0.1</v>
      </c>
      <c r="D119" s="349" t="s">
        <v>1179</v>
      </c>
      <c r="E119" s="351">
        <v>11372</v>
      </c>
      <c r="F119" s="351">
        <f>INT(C119*E119)</f>
        <v>1137</v>
      </c>
      <c r="G119" s="351">
        <v>12817</v>
      </c>
      <c r="H119" s="351">
        <f t="shared" si="3"/>
        <v>1281</v>
      </c>
      <c r="I119" s="351">
        <v>4678</v>
      </c>
      <c r="J119" s="351">
        <f t="shared" si="2"/>
        <v>467</v>
      </c>
      <c r="K119" s="352"/>
    </row>
    <row r="120" spans="1:11" s="347" customFormat="1" ht="15.95" customHeight="1">
      <c r="A120" s="348" t="s">
        <v>1371</v>
      </c>
      <c r="B120" s="349" t="s">
        <v>1205</v>
      </c>
      <c r="C120" s="350">
        <v>0.12</v>
      </c>
      <c r="D120" s="349" t="s">
        <v>1179</v>
      </c>
      <c r="E120" s="351">
        <f ca="1">'9.0중기목록'!F12</f>
        <v>6640</v>
      </c>
      <c r="F120" s="351">
        <f ca="1">INT(C120*E120)</f>
        <v>796</v>
      </c>
      <c r="G120" s="351">
        <f ca="1">'9.0중기목록'!E12</f>
        <v>17696</v>
      </c>
      <c r="H120" s="351">
        <f t="shared" si="3"/>
        <v>2123</v>
      </c>
      <c r="I120" s="351">
        <f ca="1">'9.0중기목록'!G12</f>
        <v>10362</v>
      </c>
      <c r="J120" s="351">
        <f t="shared" si="2"/>
        <v>1243</v>
      </c>
      <c r="K120" s="352"/>
    </row>
    <row r="121" spans="1:11" s="347" customFormat="1" ht="15.95" customHeight="1">
      <c r="A121" s="348" t="s">
        <v>1206</v>
      </c>
      <c r="B121" s="349" t="s">
        <v>1207</v>
      </c>
      <c r="C121" s="350">
        <v>0.1</v>
      </c>
      <c r="D121" s="349" t="s">
        <v>1179</v>
      </c>
      <c r="E121" s="351">
        <f ca="1">'9.0중기목록'!F14</f>
        <v>13117</v>
      </c>
      <c r="F121" s="351">
        <f ca="1">INT(C121*E121)</f>
        <v>1311</v>
      </c>
      <c r="G121" s="351">
        <f ca="1">'9.0중기목록'!E14</f>
        <v>17696</v>
      </c>
      <c r="H121" s="351">
        <f t="shared" si="3"/>
        <v>1769</v>
      </c>
      <c r="I121" s="351">
        <f ca="1">'9.0중기목록'!G14</f>
        <v>7823</v>
      </c>
      <c r="J121" s="351">
        <f t="shared" si="2"/>
        <v>782</v>
      </c>
      <c r="K121" s="352"/>
    </row>
    <row r="122" spans="1:11" s="347" customFormat="1" ht="15.95" customHeight="1">
      <c r="A122" s="348" t="s">
        <v>817</v>
      </c>
      <c r="B122" s="349" t="s">
        <v>1208</v>
      </c>
      <c r="C122" s="350">
        <v>0.1</v>
      </c>
      <c r="D122" s="349" t="s">
        <v>1179</v>
      </c>
      <c r="E122" s="351">
        <f ca="1">'9.0중기목록'!F16</f>
        <v>11978</v>
      </c>
      <c r="F122" s="351">
        <f ca="1">INT(C122*E122)</f>
        <v>1197</v>
      </c>
      <c r="G122" s="351">
        <f ca="1">'9.0중기목록'!E16</f>
        <v>17696</v>
      </c>
      <c r="H122" s="351">
        <f t="shared" si="3"/>
        <v>1769</v>
      </c>
      <c r="I122" s="351">
        <f ca="1">'9.0중기목록'!G16</f>
        <v>6117</v>
      </c>
      <c r="J122" s="351">
        <f t="shared" si="2"/>
        <v>611</v>
      </c>
      <c r="K122" s="352"/>
    </row>
    <row r="123" spans="1:11" s="347" customFormat="1" ht="15.95" customHeight="1">
      <c r="A123" s="348" t="s">
        <v>970</v>
      </c>
      <c r="B123" s="349"/>
      <c r="C123" s="350">
        <v>1.0999999999999999E-2</v>
      </c>
      <c r="D123" s="349" t="s">
        <v>820</v>
      </c>
      <c r="E123" s="350"/>
      <c r="F123" s="351"/>
      <c r="G123" s="351">
        <f ca="1">'11.0시중노임'!F4</f>
        <v>92218</v>
      </c>
      <c r="H123" s="351">
        <f t="shared" si="3"/>
        <v>1014</v>
      </c>
      <c r="I123" s="351"/>
      <c r="J123" s="351"/>
      <c r="K123" s="352"/>
    </row>
    <row r="124" spans="1:11" s="347" customFormat="1" ht="15.95" customHeight="1">
      <c r="A124" s="348" t="s">
        <v>967</v>
      </c>
      <c r="B124" s="349"/>
      <c r="C124" s="350">
        <v>4.5999999999999999E-2</v>
      </c>
      <c r="D124" s="349" t="s">
        <v>820</v>
      </c>
      <c r="E124" s="350"/>
      <c r="F124" s="351"/>
      <c r="G124" s="351">
        <f ca="1">'11.0시중노임'!F5</f>
        <v>84404</v>
      </c>
      <c r="H124" s="351">
        <f t="shared" si="3"/>
        <v>3882</v>
      </c>
      <c r="I124" s="351"/>
      <c r="J124" s="351"/>
      <c r="K124" s="352"/>
    </row>
    <row r="125" spans="1:11" s="347" customFormat="1" ht="15.95" customHeight="1">
      <c r="A125" s="348" t="s">
        <v>1209</v>
      </c>
      <c r="B125" s="349"/>
      <c r="C125" s="350">
        <v>1.0999999999999999E-2</v>
      </c>
      <c r="D125" s="349" t="s">
        <v>820</v>
      </c>
      <c r="E125" s="350"/>
      <c r="F125" s="351"/>
      <c r="G125" s="351">
        <f ca="1">'11.0시중노임'!F12</f>
        <v>86521</v>
      </c>
      <c r="H125" s="351">
        <f t="shared" si="3"/>
        <v>951</v>
      </c>
      <c r="I125" s="351"/>
      <c r="J125" s="351"/>
      <c r="K125" s="352"/>
    </row>
    <row r="126" spans="1:11" s="347" customFormat="1" ht="15.95" customHeight="1">
      <c r="A126" s="348" t="s">
        <v>971</v>
      </c>
      <c r="B126" s="349"/>
      <c r="C126" s="350">
        <v>9.2999999999999999E-2</v>
      </c>
      <c r="D126" s="349" t="s">
        <v>820</v>
      </c>
      <c r="E126" s="350"/>
      <c r="F126" s="351"/>
      <c r="G126" s="351">
        <f ca="1">'11.0시중노임'!F6</f>
        <v>68965</v>
      </c>
      <c r="H126" s="351">
        <f t="shared" si="3"/>
        <v>6413</v>
      </c>
      <c r="I126" s="351"/>
      <c r="J126" s="351"/>
      <c r="K126" s="352"/>
    </row>
    <row r="127" spans="1:11" s="347" customFormat="1" ht="15.95" customHeight="1">
      <c r="A127" s="522" t="s">
        <v>1367</v>
      </c>
      <c r="B127" s="349" t="s">
        <v>979</v>
      </c>
      <c r="C127" s="521">
        <v>3</v>
      </c>
      <c r="D127" s="349" t="s">
        <v>965</v>
      </c>
      <c r="E127" s="351">
        <f>SUM(F115:F116)</f>
        <v>6210</v>
      </c>
      <c r="F127" s="351">
        <f>INT(C127/100*E127)</f>
        <v>186</v>
      </c>
      <c r="G127" s="351"/>
      <c r="H127" s="351"/>
      <c r="I127" s="351"/>
      <c r="J127" s="351"/>
      <c r="K127" s="352"/>
    </row>
    <row r="128" spans="1:11" s="347" customFormat="1" ht="15.95" customHeight="1">
      <c r="A128" s="522" t="s">
        <v>1368</v>
      </c>
      <c r="B128" s="349" t="s">
        <v>980</v>
      </c>
      <c r="C128" s="521">
        <v>2</v>
      </c>
      <c r="D128" s="349" t="s">
        <v>965</v>
      </c>
      <c r="E128" s="351"/>
      <c r="F128" s="351"/>
      <c r="G128" s="351"/>
      <c r="H128" s="351"/>
      <c r="I128" s="351">
        <f>SUM(H123:H126)</f>
        <v>12260</v>
      </c>
      <c r="J128" s="351">
        <f>INT(C128/100*I128)</f>
        <v>245</v>
      </c>
      <c r="K128" s="352"/>
    </row>
    <row r="129" spans="1:11" s="347" customFormat="1" ht="15.95" customHeight="1">
      <c r="A129" s="348" t="s">
        <v>956</v>
      </c>
      <c r="B129" s="349"/>
      <c r="C129" s="350"/>
      <c r="D129" s="349"/>
      <c r="E129" s="350"/>
      <c r="F129" s="351">
        <f>INT(SUM(F115:F128))</f>
        <v>13163</v>
      </c>
      <c r="G129" s="351"/>
      <c r="H129" s="351">
        <f>INT(SUM(H115:H128))</f>
        <v>20827</v>
      </c>
      <c r="I129" s="351"/>
      <c r="J129" s="351">
        <f>INT(SUM(J115:J128))</f>
        <v>6635</v>
      </c>
      <c r="K129" s="352">
        <f>INT(SUM(F129:J129))</f>
        <v>40625</v>
      </c>
    </row>
    <row r="130" spans="1:11" s="347" customFormat="1" ht="15.95" customHeight="1">
      <c r="A130" s="363" t="s">
        <v>1215</v>
      </c>
      <c r="B130" s="364"/>
      <c r="C130" s="364"/>
      <c r="D130" s="365"/>
      <c r="E130" s="364"/>
      <c r="F130" s="366">
        <f>F129+F113+F105+F98</f>
        <v>18508</v>
      </c>
      <c r="G130" s="366"/>
      <c r="H130" s="366">
        <f>H129+H113+H105+H98</f>
        <v>28289</v>
      </c>
      <c r="I130" s="366"/>
      <c r="J130" s="366">
        <f>J129+J113+J105+J98</f>
        <v>6862</v>
      </c>
      <c r="K130" s="367">
        <f>INT(SUM(F130:J130))</f>
        <v>53659</v>
      </c>
    </row>
    <row r="131" spans="1:11" s="347" customFormat="1" ht="12.95" customHeight="1">
      <c r="A131" s="342"/>
      <c r="B131" s="342"/>
      <c r="C131" s="342"/>
      <c r="D131" s="368"/>
      <c r="E131" s="342"/>
      <c r="F131" s="342"/>
      <c r="G131" s="342"/>
      <c r="H131" s="342"/>
      <c r="I131" s="1798"/>
      <c r="J131" s="1798"/>
      <c r="K131" s="1798"/>
    </row>
    <row r="132" spans="1:11" s="347" customFormat="1" ht="12.95" customHeight="1">
      <c r="A132" s="342"/>
      <c r="B132" s="342"/>
      <c r="C132" s="342"/>
      <c r="D132" s="368"/>
      <c r="E132" s="342"/>
      <c r="F132" s="342"/>
      <c r="G132" s="342"/>
      <c r="H132" s="342"/>
      <c r="I132" s="369"/>
      <c r="J132" s="342"/>
      <c r="K132" s="342"/>
    </row>
  </sheetData>
  <mergeCells count="23">
    <mergeCell ref="I131:K131"/>
    <mergeCell ref="A90:A91"/>
    <mergeCell ref="B90:B91"/>
    <mergeCell ref="C90:C91"/>
    <mergeCell ref="D90:D91"/>
    <mergeCell ref="I90:J90"/>
    <mergeCell ref="K90:K91"/>
    <mergeCell ref="E90:F90"/>
    <mergeCell ref="G90:H90"/>
    <mergeCell ref="G47:H47"/>
    <mergeCell ref="A88:K88"/>
    <mergeCell ref="A47:A48"/>
    <mergeCell ref="B47:B48"/>
    <mergeCell ref="C47:C48"/>
    <mergeCell ref="D47:D48"/>
    <mergeCell ref="E47:F47"/>
    <mergeCell ref="A45:K45"/>
    <mergeCell ref="D21:E21"/>
    <mergeCell ref="F21:G21"/>
    <mergeCell ref="F22:G22"/>
    <mergeCell ref="F23:G23"/>
    <mergeCell ref="I47:J47"/>
    <mergeCell ref="K47:K48"/>
  </mergeCells>
  <phoneticPr fontId="3" type="noConversion"/>
  <pageMargins left="0.74803149606299213" right="0.74803149606299213" top="0.98425196850393704" bottom="0.98425196850393704" header="0.51181102362204722" footer="0.51181102362204722"/>
  <pageSetup paperSize="9" pageOrder="overThenDown" orientation="portrait" horizontalDpi="4294967295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>
  <dimension ref="A1:H203"/>
  <sheetViews>
    <sheetView topLeftCell="A47" workbookViewId="0">
      <selection activeCell="P6" sqref="P6"/>
    </sheetView>
  </sheetViews>
  <sheetFormatPr defaultRowHeight="13.5"/>
  <cols>
    <col min="1" max="1" width="17" style="5" customWidth="1"/>
    <col min="2" max="2" width="11.21875" style="5" customWidth="1"/>
    <col min="3" max="16384" width="8.88671875" style="5"/>
  </cols>
  <sheetData>
    <row r="1" spans="4:4" customFormat="1">
      <c r="D1" s="338"/>
    </row>
    <row r="2" spans="4:4" customFormat="1">
      <c r="D2" s="338"/>
    </row>
    <row r="3" spans="4:4" customFormat="1">
      <c r="D3" s="338"/>
    </row>
    <row r="4" spans="4:4" customFormat="1">
      <c r="D4" s="338"/>
    </row>
    <row r="5" spans="4:4" customFormat="1">
      <c r="D5" s="338"/>
    </row>
    <row r="6" spans="4:4" customFormat="1">
      <c r="D6" s="338"/>
    </row>
    <row r="7" spans="4:4" customFormat="1">
      <c r="D7" s="338"/>
    </row>
    <row r="8" spans="4:4" customFormat="1">
      <c r="D8" s="338"/>
    </row>
    <row r="9" spans="4:4" customFormat="1">
      <c r="D9" s="338"/>
    </row>
    <row r="10" spans="4:4" customFormat="1">
      <c r="D10" s="338"/>
    </row>
    <row r="11" spans="4:4" customFormat="1">
      <c r="D11" s="338"/>
    </row>
    <row r="12" spans="4:4" customFormat="1">
      <c r="D12" s="338"/>
    </row>
    <row r="13" spans="4:4" customFormat="1">
      <c r="D13" s="338"/>
    </row>
    <row r="14" spans="4:4" customFormat="1">
      <c r="D14" s="338"/>
    </row>
    <row r="15" spans="4:4" customFormat="1">
      <c r="D15" s="338"/>
    </row>
    <row r="16" spans="4:4" customFormat="1">
      <c r="D16" s="338"/>
    </row>
    <row r="17" spans="2:8" customFormat="1">
      <c r="D17" s="338"/>
    </row>
    <row r="18" spans="2:8" customFormat="1">
      <c r="D18" s="338"/>
    </row>
    <row r="19" spans="2:8" s="339" customFormat="1" ht="30" customHeight="1">
      <c r="B19" s="376" t="s">
        <v>1318</v>
      </c>
      <c r="C19" s="1973" t="s">
        <v>1325</v>
      </c>
      <c r="D19" s="1973"/>
      <c r="E19" s="517" t="s">
        <v>695</v>
      </c>
      <c r="F19" s="386"/>
      <c r="G19" s="386"/>
      <c r="H19" s="386"/>
    </row>
    <row r="20" spans="2:8" s="339" customFormat="1" ht="30" customHeight="1">
      <c r="B20" s="375" t="s">
        <v>1319</v>
      </c>
      <c r="C20" s="1548" t="s">
        <v>1322</v>
      </c>
      <c r="D20" s="1548"/>
      <c r="E20" s="406">
        <f>F96</f>
        <v>24377</v>
      </c>
    </row>
    <row r="21" spans="2:8" s="339" customFormat="1" ht="30" customHeight="1">
      <c r="B21" s="375" t="s">
        <v>1320</v>
      </c>
      <c r="C21" s="1548" t="s">
        <v>1323</v>
      </c>
      <c r="D21" s="1548"/>
      <c r="E21" s="406">
        <f>F150</f>
        <v>36802.399999999994</v>
      </c>
      <c r="F21" s="401"/>
      <c r="G21" s="401"/>
      <c r="H21" s="400"/>
    </row>
    <row r="22" spans="2:8" s="339" customFormat="1" ht="30" customHeight="1">
      <c r="B22" s="405" t="s">
        <v>1321</v>
      </c>
      <c r="C22" s="1545" t="s">
        <v>1324</v>
      </c>
      <c r="D22" s="1545"/>
      <c r="E22" s="518">
        <f>F203</f>
        <v>48054</v>
      </c>
      <c r="F22" s="404"/>
      <c r="G22" s="401"/>
      <c r="H22" s="400"/>
    </row>
    <row r="23" spans="2:8" customFormat="1">
      <c r="D23" s="338"/>
    </row>
    <row r="24" spans="2:8" customFormat="1">
      <c r="D24" s="338"/>
    </row>
    <row r="25" spans="2:8" customFormat="1">
      <c r="D25" s="338"/>
    </row>
    <row r="26" spans="2:8" customFormat="1">
      <c r="D26" s="338"/>
    </row>
    <row r="27" spans="2:8" customFormat="1">
      <c r="D27" s="338"/>
    </row>
    <row r="28" spans="2:8" customFormat="1">
      <c r="D28" s="338"/>
    </row>
    <row r="29" spans="2:8" customFormat="1">
      <c r="D29" s="338"/>
    </row>
    <row r="30" spans="2:8" customFormat="1">
      <c r="D30" s="338"/>
    </row>
    <row r="31" spans="2:8" customFormat="1">
      <c r="D31" s="338"/>
    </row>
    <row r="32" spans="2:8" customFormat="1">
      <c r="D32" s="338"/>
    </row>
    <row r="33" spans="1:7" customFormat="1">
      <c r="D33" s="338"/>
    </row>
    <row r="34" spans="1:7" customFormat="1">
      <c r="D34" s="338"/>
    </row>
    <row r="35" spans="1:7" customFormat="1">
      <c r="D35" s="338"/>
    </row>
    <row r="36" spans="1:7" customFormat="1">
      <c r="D36" s="338"/>
    </row>
    <row r="37" spans="1:7" customFormat="1">
      <c r="D37" s="338"/>
    </row>
    <row r="38" spans="1:7" customFormat="1">
      <c r="D38" s="338"/>
    </row>
    <row r="39" spans="1:7" customFormat="1">
      <c r="D39" s="338"/>
    </row>
    <row r="40" spans="1:7" customFormat="1">
      <c r="D40" s="338"/>
    </row>
    <row r="41" spans="1:7" customFormat="1">
      <c r="D41" s="338"/>
    </row>
    <row r="42" spans="1:7" customFormat="1">
      <c r="D42" s="338"/>
    </row>
    <row r="43" spans="1:7" customFormat="1">
      <c r="D43" s="338"/>
    </row>
    <row r="44" spans="1:7" customFormat="1">
      <c r="D44" s="338"/>
    </row>
    <row r="45" spans="1:7" customFormat="1">
      <c r="D45" s="338"/>
    </row>
    <row r="46" spans="1:7" customFormat="1">
      <c r="D46" s="338"/>
    </row>
    <row r="47" spans="1:7" ht="14.25">
      <c r="A47" s="1972" t="s">
        <v>1305</v>
      </c>
      <c r="B47" s="1972"/>
      <c r="C47" s="1972"/>
      <c r="D47" s="1972"/>
      <c r="E47" s="1972"/>
      <c r="F47" s="1972"/>
      <c r="G47" s="1972"/>
    </row>
    <row r="48" spans="1:7">
      <c r="A48" s="483" t="s">
        <v>1264</v>
      </c>
      <c r="B48" s="484" t="s">
        <v>1265</v>
      </c>
      <c r="C48" s="484" t="s">
        <v>1266</v>
      </c>
      <c r="D48" s="484" t="s">
        <v>1267</v>
      </c>
      <c r="E48" s="484" t="s">
        <v>1268</v>
      </c>
      <c r="F48" s="484" t="s">
        <v>1269</v>
      </c>
      <c r="G48" s="485" t="s">
        <v>1270</v>
      </c>
    </row>
    <row r="49" spans="1:7">
      <c r="A49" s="1969" t="s">
        <v>1306</v>
      </c>
      <c r="B49" s="1970"/>
      <c r="C49" s="1970"/>
      <c r="D49" s="1970"/>
      <c r="E49" s="1970"/>
      <c r="F49" s="1970"/>
      <c r="G49" s="1971"/>
    </row>
    <row r="50" spans="1:7">
      <c r="A50" s="486" t="s">
        <v>1271</v>
      </c>
      <c r="B50" s="487" t="s">
        <v>1272</v>
      </c>
      <c r="C50" s="487" t="s">
        <v>1273</v>
      </c>
      <c r="D50" s="488">
        <v>200000</v>
      </c>
      <c r="E50" s="487">
        <v>5.5E-2</v>
      </c>
      <c r="F50" s="488">
        <f>ROUND(D50*E50,1)</f>
        <v>11000</v>
      </c>
      <c r="G50" s="489"/>
    </row>
    <row r="51" spans="1:7">
      <c r="A51" s="486" t="s">
        <v>1198</v>
      </c>
      <c r="B51" s="490" t="s">
        <v>1274</v>
      </c>
      <c r="C51" s="487" t="s">
        <v>1275</v>
      </c>
      <c r="D51" s="487">
        <v>50</v>
      </c>
      <c r="E51" s="487">
        <v>40</v>
      </c>
      <c r="F51" s="488">
        <f>ROUND(D51*E51,1)</f>
        <v>2000</v>
      </c>
      <c r="G51" s="489"/>
    </row>
    <row r="52" spans="1:7">
      <c r="A52" s="486" t="s">
        <v>1276</v>
      </c>
      <c r="B52" s="487"/>
      <c r="C52" s="487"/>
      <c r="D52" s="487"/>
      <c r="E52" s="487"/>
      <c r="F52" s="488">
        <f>SUM(F50:F51)</f>
        <v>13000</v>
      </c>
      <c r="G52" s="489"/>
    </row>
    <row r="53" spans="1:7">
      <c r="A53" s="491"/>
      <c r="B53" s="492"/>
      <c r="C53" s="492"/>
      <c r="D53" s="492"/>
      <c r="E53" s="492"/>
      <c r="F53" s="492"/>
      <c r="G53" s="493"/>
    </row>
    <row r="54" spans="1:7">
      <c r="A54" s="1969" t="s">
        <v>1307</v>
      </c>
      <c r="B54" s="1970"/>
      <c r="C54" s="1970"/>
      <c r="D54" s="1970"/>
      <c r="E54" s="1970"/>
      <c r="F54" s="1970"/>
      <c r="G54" s="1971"/>
    </row>
    <row r="55" spans="1:7">
      <c r="A55" s="486" t="s">
        <v>1277</v>
      </c>
      <c r="B55" s="487" t="s">
        <v>1278</v>
      </c>
      <c r="C55" s="487" t="s">
        <v>1279</v>
      </c>
      <c r="D55" s="488">
        <v>4260</v>
      </c>
      <c r="E55" s="487">
        <v>1.1000000000000001</v>
      </c>
      <c r="F55" s="488">
        <f>ROUND(D55*E55,1)</f>
        <v>4686</v>
      </c>
      <c r="G55" s="489"/>
    </row>
    <row r="56" spans="1:7">
      <c r="A56" s="486" t="s">
        <v>1276</v>
      </c>
      <c r="B56" s="487"/>
      <c r="C56" s="487"/>
      <c r="D56" s="487"/>
      <c r="E56" s="487"/>
      <c r="F56" s="488">
        <f>INT(F55)</f>
        <v>4686</v>
      </c>
      <c r="G56" s="489"/>
    </row>
    <row r="57" spans="1:7">
      <c r="A57" s="491"/>
      <c r="B57" s="492"/>
      <c r="C57" s="492"/>
      <c r="D57" s="492"/>
      <c r="E57" s="492"/>
      <c r="F57" s="492"/>
      <c r="G57" s="493"/>
    </row>
    <row r="58" spans="1:7">
      <c r="A58" s="1969" t="s">
        <v>1308</v>
      </c>
      <c r="B58" s="1970"/>
      <c r="C58" s="1970"/>
      <c r="D58" s="1970"/>
      <c r="E58" s="1970"/>
      <c r="F58" s="1970"/>
      <c r="G58" s="1971"/>
    </row>
    <row r="59" spans="1:7">
      <c r="A59" s="486" t="s">
        <v>1280</v>
      </c>
      <c r="B59" s="487" t="s">
        <v>1281</v>
      </c>
      <c r="C59" s="487" t="s">
        <v>1282</v>
      </c>
      <c r="D59" s="487">
        <v>300</v>
      </c>
      <c r="E59" s="487">
        <v>1.1000000000000001</v>
      </c>
      <c r="F59" s="488">
        <f>ROUND(D59*E59,1)</f>
        <v>330</v>
      </c>
      <c r="G59" s="489"/>
    </row>
    <row r="60" spans="1:7">
      <c r="A60" s="486" t="s">
        <v>971</v>
      </c>
      <c r="B60" s="487"/>
      <c r="C60" s="487" t="s">
        <v>820</v>
      </c>
      <c r="D60" s="488">
        <f ca="1">'11.0시중노임'!F6</f>
        <v>68965</v>
      </c>
      <c r="E60" s="487">
        <v>1.2E-2</v>
      </c>
      <c r="F60" s="488">
        <f>ROUND(D60*E60,1)</f>
        <v>827.6</v>
      </c>
      <c r="G60" s="489"/>
    </row>
    <row r="61" spans="1:7">
      <c r="A61" s="486" t="s">
        <v>1276</v>
      </c>
      <c r="B61" s="487"/>
      <c r="C61" s="487"/>
      <c r="D61" s="487"/>
      <c r="E61" s="487"/>
      <c r="F61" s="487">
        <f>INT(SUM(F59:F60))</f>
        <v>1157</v>
      </c>
      <c r="G61" s="489"/>
    </row>
    <row r="62" spans="1:7">
      <c r="A62" s="491"/>
      <c r="B62" s="492"/>
      <c r="C62" s="492"/>
      <c r="D62" s="492"/>
      <c r="E62" s="492"/>
      <c r="F62" s="492"/>
      <c r="G62" s="493"/>
    </row>
    <row r="63" spans="1:7">
      <c r="A63" s="1969" t="s">
        <v>1309</v>
      </c>
      <c r="B63" s="1970"/>
      <c r="C63" s="1970"/>
      <c r="D63" s="1970"/>
      <c r="E63" s="1970"/>
      <c r="F63" s="1970"/>
      <c r="G63" s="1971"/>
    </row>
    <row r="64" spans="1:7">
      <c r="A64" s="486" t="s">
        <v>1202</v>
      </c>
      <c r="B64" s="487" t="s">
        <v>1283</v>
      </c>
      <c r="C64" s="487" t="s">
        <v>1284</v>
      </c>
      <c r="D64" s="488">
        <v>21828</v>
      </c>
      <c r="E64" s="487">
        <v>1.7999999999999999E-2</v>
      </c>
      <c r="F64" s="494">
        <f>ROUND(D64*E64,1)</f>
        <v>392.9</v>
      </c>
      <c r="G64" s="489"/>
    </row>
    <row r="65" spans="1:7">
      <c r="A65" s="486" t="s">
        <v>1285</v>
      </c>
      <c r="B65" s="487" t="s">
        <v>1286</v>
      </c>
      <c r="C65" s="487"/>
      <c r="D65" s="488">
        <v>10671</v>
      </c>
      <c r="E65" s="487">
        <v>1.7999999999999999E-2</v>
      </c>
      <c r="F65" s="494">
        <f>ROUND(D65*E65,1)</f>
        <v>192.1</v>
      </c>
      <c r="G65" s="489"/>
    </row>
    <row r="66" spans="1:7">
      <c r="A66" s="486" t="s">
        <v>1287</v>
      </c>
      <c r="B66" s="487" t="s">
        <v>1288</v>
      </c>
      <c r="C66" s="487"/>
      <c r="D66" s="488">
        <v>5174</v>
      </c>
      <c r="E66" s="487">
        <v>1.7999999999999999E-2</v>
      </c>
      <c r="F66" s="494">
        <f>ROUND(D66*E66,1)</f>
        <v>93.1</v>
      </c>
      <c r="G66" s="489"/>
    </row>
    <row r="67" spans="1:7">
      <c r="A67" s="486" t="s">
        <v>772</v>
      </c>
      <c r="B67" s="487" t="s">
        <v>1289</v>
      </c>
      <c r="C67" s="487"/>
      <c r="D67" s="488">
        <v>9139</v>
      </c>
      <c r="E67" s="487">
        <v>1.7999999999999999E-2</v>
      </c>
      <c r="F67" s="494">
        <f>ROUND(D67*E67,1)</f>
        <v>164.5</v>
      </c>
      <c r="G67" s="489"/>
    </row>
    <row r="68" spans="1:7">
      <c r="A68" s="486" t="s">
        <v>817</v>
      </c>
      <c r="B68" s="487" t="s">
        <v>1290</v>
      </c>
      <c r="C68" s="487"/>
      <c r="D68" s="488">
        <v>12030</v>
      </c>
      <c r="E68" s="487">
        <v>1.7999999999999999E-2</v>
      </c>
      <c r="F68" s="494">
        <f>ROUND(D68*E68,1)</f>
        <v>216.5</v>
      </c>
      <c r="G68" s="489"/>
    </row>
    <row r="69" spans="1:7">
      <c r="A69" s="486" t="s">
        <v>1276</v>
      </c>
      <c r="B69" s="487"/>
      <c r="C69" s="487"/>
      <c r="D69" s="487"/>
      <c r="E69" s="487"/>
      <c r="F69" s="487">
        <f>INT(SUM(F64:F68))</f>
        <v>1059</v>
      </c>
      <c r="G69" s="489"/>
    </row>
    <row r="70" spans="1:7">
      <c r="A70" s="491"/>
      <c r="B70" s="492"/>
      <c r="C70" s="492"/>
      <c r="D70" s="492"/>
      <c r="E70" s="492"/>
      <c r="F70" s="492"/>
      <c r="G70" s="493"/>
    </row>
    <row r="71" spans="1:7">
      <c r="A71" s="1969" t="s">
        <v>1310</v>
      </c>
      <c r="B71" s="1970"/>
      <c r="C71" s="1970"/>
      <c r="D71" s="1970"/>
      <c r="E71" s="1970"/>
      <c r="F71" s="1970"/>
      <c r="G71" s="1971"/>
    </row>
    <row r="72" spans="1:7">
      <c r="A72" s="486" t="s">
        <v>970</v>
      </c>
      <c r="B72" s="487"/>
      <c r="C72" s="487" t="s">
        <v>820</v>
      </c>
      <c r="D72" s="488">
        <v>69773</v>
      </c>
      <c r="E72" s="487">
        <v>2E-3</v>
      </c>
      <c r="F72" s="494">
        <f t="shared" ref="F72:F80" si="0">ROUND(D72*E72,1)</f>
        <v>139.5</v>
      </c>
      <c r="G72" s="489"/>
    </row>
    <row r="73" spans="1:7">
      <c r="A73" s="486" t="s">
        <v>967</v>
      </c>
      <c r="B73" s="487" t="s">
        <v>820</v>
      </c>
      <c r="C73" s="487"/>
      <c r="D73" s="488">
        <v>66051</v>
      </c>
      <c r="E73" s="487">
        <v>1.9E-2</v>
      </c>
      <c r="F73" s="494">
        <f t="shared" si="0"/>
        <v>1255</v>
      </c>
      <c r="G73" s="489"/>
    </row>
    <row r="74" spans="1:7">
      <c r="A74" s="486" t="s">
        <v>976</v>
      </c>
      <c r="B74" s="487"/>
      <c r="C74" s="487" t="s">
        <v>820</v>
      </c>
      <c r="D74" s="488">
        <v>61664</v>
      </c>
      <c r="E74" s="487">
        <v>1E-3</v>
      </c>
      <c r="F74" s="494">
        <f t="shared" si="0"/>
        <v>61.7</v>
      </c>
      <c r="G74" s="489"/>
    </row>
    <row r="75" spans="1:7">
      <c r="A75" s="486" t="s">
        <v>971</v>
      </c>
      <c r="B75" s="487"/>
      <c r="C75" s="487" t="s">
        <v>820</v>
      </c>
      <c r="D75" s="488">
        <v>52374</v>
      </c>
      <c r="E75" s="487">
        <v>1.4E-2</v>
      </c>
      <c r="F75" s="494">
        <f t="shared" si="0"/>
        <v>733.2</v>
      </c>
      <c r="G75" s="489"/>
    </row>
    <row r="76" spans="1:7">
      <c r="A76" s="486" t="s">
        <v>1202</v>
      </c>
      <c r="B76" s="487" t="s">
        <v>1283</v>
      </c>
      <c r="C76" s="487" t="s">
        <v>1284</v>
      </c>
      <c r="D76" s="488">
        <v>16925</v>
      </c>
      <c r="E76" s="487">
        <v>1.7999999999999999E-2</v>
      </c>
      <c r="F76" s="494">
        <f t="shared" si="0"/>
        <v>304.7</v>
      </c>
      <c r="G76" s="489"/>
    </row>
    <row r="77" spans="1:7">
      <c r="A77" s="486" t="s">
        <v>1285</v>
      </c>
      <c r="B77" s="487" t="s">
        <v>1286</v>
      </c>
      <c r="C77" s="487" t="s">
        <v>1284</v>
      </c>
      <c r="D77" s="488">
        <v>12438</v>
      </c>
      <c r="E77" s="487">
        <v>1.7999999999999999E-2</v>
      </c>
      <c r="F77" s="494">
        <f t="shared" si="0"/>
        <v>223.9</v>
      </c>
      <c r="G77" s="489"/>
    </row>
    <row r="78" spans="1:7">
      <c r="A78" s="486" t="s">
        <v>1287</v>
      </c>
      <c r="B78" s="487" t="s">
        <v>1288</v>
      </c>
      <c r="C78" s="487"/>
      <c r="D78" s="488">
        <v>12886</v>
      </c>
      <c r="E78" s="487">
        <v>1.7999999999999999E-2</v>
      </c>
      <c r="F78" s="494">
        <f t="shared" si="0"/>
        <v>231.9</v>
      </c>
      <c r="G78" s="489"/>
    </row>
    <row r="79" spans="1:7">
      <c r="A79" s="486" t="s">
        <v>772</v>
      </c>
      <c r="B79" s="487" t="s">
        <v>1289</v>
      </c>
      <c r="C79" s="487"/>
      <c r="D79" s="488">
        <v>12886</v>
      </c>
      <c r="E79" s="487">
        <v>1.7999999999999999E-2</v>
      </c>
      <c r="F79" s="494">
        <f t="shared" si="0"/>
        <v>231.9</v>
      </c>
      <c r="G79" s="489"/>
    </row>
    <row r="80" spans="1:7">
      <c r="A80" s="486" t="s">
        <v>817</v>
      </c>
      <c r="B80" s="487" t="s">
        <v>1290</v>
      </c>
      <c r="C80" s="487"/>
      <c r="D80" s="488">
        <v>12886</v>
      </c>
      <c r="E80" s="487">
        <v>1.7999999999999999E-2</v>
      </c>
      <c r="F80" s="494">
        <f t="shared" si="0"/>
        <v>231.9</v>
      </c>
      <c r="G80" s="489"/>
    </row>
    <row r="81" spans="1:7">
      <c r="A81" s="486" t="s">
        <v>1276</v>
      </c>
      <c r="B81" s="487"/>
      <c r="C81" s="487"/>
      <c r="D81" s="487"/>
      <c r="E81" s="487"/>
      <c r="F81" s="488">
        <f>INT(SUM(F72:F80))</f>
        <v>3413</v>
      </c>
      <c r="G81" s="489"/>
    </row>
    <row r="82" spans="1:7">
      <c r="A82" s="491"/>
      <c r="B82" s="492"/>
      <c r="C82" s="492"/>
      <c r="D82" s="492"/>
      <c r="E82" s="492"/>
      <c r="F82" s="492"/>
      <c r="G82" s="493"/>
    </row>
    <row r="83" spans="1:7">
      <c r="A83" s="1969" t="s">
        <v>1311</v>
      </c>
      <c r="B83" s="1970"/>
      <c r="C83" s="1970"/>
      <c r="D83" s="1970"/>
      <c r="E83" s="1970"/>
      <c r="F83" s="1970"/>
      <c r="G83" s="1971"/>
    </row>
    <row r="84" spans="1:7">
      <c r="A84" s="486" t="s">
        <v>768</v>
      </c>
      <c r="B84" s="487">
        <v>25</v>
      </c>
      <c r="C84" s="487" t="s">
        <v>1284</v>
      </c>
      <c r="D84" s="488">
        <v>21618</v>
      </c>
      <c r="E84" s="487">
        <v>1.6E-2</v>
      </c>
      <c r="F84" s="494">
        <f t="shared" ref="F84:F89" si="1">ROUND(D84*E84,1)</f>
        <v>345.9</v>
      </c>
      <c r="G84" s="489"/>
    </row>
    <row r="85" spans="1:7">
      <c r="A85" s="486" t="s">
        <v>1202</v>
      </c>
      <c r="B85" s="487" t="s">
        <v>1283</v>
      </c>
      <c r="C85" s="487" t="s">
        <v>1284</v>
      </c>
      <c r="D85" s="488">
        <v>7905</v>
      </c>
      <c r="E85" s="487">
        <v>1.7999999999999999E-2</v>
      </c>
      <c r="F85" s="494">
        <f t="shared" si="1"/>
        <v>142.30000000000001</v>
      </c>
      <c r="G85" s="489"/>
    </row>
    <row r="86" spans="1:7">
      <c r="A86" s="486" t="s">
        <v>1285</v>
      </c>
      <c r="B86" s="487" t="s">
        <v>1286</v>
      </c>
      <c r="C86" s="487" t="s">
        <v>1284</v>
      </c>
      <c r="D86" s="488">
        <v>4678</v>
      </c>
      <c r="E86" s="487">
        <v>1.7999999999999999E-2</v>
      </c>
      <c r="F86" s="494">
        <f t="shared" si="1"/>
        <v>84.2</v>
      </c>
      <c r="G86" s="489"/>
    </row>
    <row r="87" spans="1:7">
      <c r="A87" s="486" t="s">
        <v>1291</v>
      </c>
      <c r="B87" s="487" t="s">
        <v>1288</v>
      </c>
      <c r="C87" s="487" t="s">
        <v>1284</v>
      </c>
      <c r="D87" s="488">
        <v>11537</v>
      </c>
      <c r="E87" s="487">
        <v>1.7999999999999999E-2</v>
      </c>
      <c r="F87" s="494">
        <f t="shared" si="1"/>
        <v>207.7</v>
      </c>
      <c r="G87" s="489"/>
    </row>
    <row r="88" spans="1:7">
      <c r="A88" s="486" t="s">
        <v>772</v>
      </c>
      <c r="B88" s="487" t="s">
        <v>1289</v>
      </c>
      <c r="C88" s="487" t="s">
        <v>1284</v>
      </c>
      <c r="D88" s="488">
        <v>9690</v>
      </c>
      <c r="E88" s="487">
        <v>1.7999999999999999E-2</v>
      </c>
      <c r="F88" s="494">
        <f t="shared" si="1"/>
        <v>174.4</v>
      </c>
      <c r="G88" s="489"/>
    </row>
    <row r="89" spans="1:7">
      <c r="A89" s="486" t="s">
        <v>817</v>
      </c>
      <c r="B89" s="487" t="s">
        <v>1292</v>
      </c>
      <c r="C89" s="487" t="s">
        <v>1284</v>
      </c>
      <c r="D89" s="488">
        <v>6008</v>
      </c>
      <c r="E89" s="487">
        <v>1.7999999999999999E-2</v>
      </c>
      <c r="F89" s="494">
        <f t="shared" si="1"/>
        <v>108.1</v>
      </c>
      <c r="G89" s="489"/>
    </row>
    <row r="90" spans="1:7">
      <c r="A90" s="486" t="s">
        <v>1276</v>
      </c>
      <c r="B90" s="487"/>
      <c r="C90" s="487"/>
      <c r="D90" s="487"/>
      <c r="E90" s="487"/>
      <c r="F90" s="488">
        <f>INT(SUM(F84:F89))</f>
        <v>1062</v>
      </c>
      <c r="G90" s="489"/>
    </row>
    <row r="91" spans="1:7">
      <c r="A91" s="486"/>
      <c r="B91" s="487"/>
      <c r="C91" s="487"/>
      <c r="D91" s="487"/>
      <c r="E91" s="487"/>
      <c r="F91" s="488"/>
      <c r="G91" s="489"/>
    </row>
    <row r="92" spans="1:7">
      <c r="A92" s="486"/>
      <c r="B92" s="487"/>
      <c r="C92" s="487"/>
      <c r="D92" s="488">
        <f>D84+D76+D64</f>
        <v>60371</v>
      </c>
      <c r="E92" s="487"/>
      <c r="F92" s="488"/>
      <c r="G92" s="489"/>
    </row>
    <row r="93" spans="1:7">
      <c r="A93" s="486"/>
      <c r="B93" s="487"/>
      <c r="C93" s="487"/>
      <c r="D93" s="487"/>
      <c r="E93" s="487"/>
      <c r="F93" s="488"/>
      <c r="G93" s="489"/>
    </row>
    <row r="94" spans="1:7">
      <c r="A94" s="486"/>
      <c r="B94" s="487"/>
      <c r="C94" s="487"/>
      <c r="D94" s="487"/>
      <c r="E94" s="487"/>
      <c r="F94" s="488"/>
      <c r="G94" s="489"/>
    </row>
    <row r="95" spans="1:7">
      <c r="A95" s="486"/>
      <c r="B95" s="487"/>
      <c r="C95" s="487"/>
      <c r="D95" s="487"/>
      <c r="E95" s="487"/>
      <c r="F95" s="487"/>
      <c r="G95" s="489"/>
    </row>
    <row r="96" spans="1:7">
      <c r="A96" s="495" t="s">
        <v>1293</v>
      </c>
      <c r="B96" s="487"/>
      <c r="C96" s="487"/>
      <c r="D96" s="487"/>
      <c r="E96" s="487"/>
      <c r="F96" s="496">
        <f>F90+F81+F69+F61+F56+F52</f>
        <v>24377</v>
      </c>
      <c r="G96" s="489"/>
    </row>
    <row r="97" spans="1:7">
      <c r="A97" s="377"/>
      <c r="B97" s="497"/>
      <c r="C97" s="497"/>
      <c r="D97" s="497"/>
      <c r="E97" s="497"/>
      <c r="F97" s="497"/>
      <c r="G97" s="498"/>
    </row>
    <row r="98" spans="1:7" ht="12.95" customHeight="1">
      <c r="A98" s="1972" t="s">
        <v>1312</v>
      </c>
      <c r="B98" s="1972"/>
      <c r="C98" s="1972"/>
      <c r="D98" s="1972"/>
      <c r="E98" s="1972"/>
      <c r="F98" s="1972"/>
      <c r="G98" s="1972"/>
    </row>
    <row r="99" spans="1:7" ht="12.95" customHeight="1">
      <c r="A99" s="483" t="s">
        <v>1264</v>
      </c>
      <c r="B99" s="484" t="s">
        <v>1265</v>
      </c>
      <c r="C99" s="484" t="s">
        <v>1266</v>
      </c>
      <c r="D99" s="484" t="s">
        <v>1267</v>
      </c>
      <c r="E99" s="484" t="s">
        <v>1268</v>
      </c>
      <c r="F99" s="484" t="s">
        <v>1269</v>
      </c>
      <c r="G99" s="485" t="s">
        <v>1270</v>
      </c>
    </row>
    <row r="100" spans="1:7" ht="12.95" customHeight="1">
      <c r="A100" s="1969" t="s">
        <v>1306</v>
      </c>
      <c r="B100" s="1970"/>
      <c r="C100" s="1970"/>
      <c r="D100" s="1970"/>
      <c r="E100" s="1970"/>
      <c r="F100" s="1970"/>
      <c r="G100" s="1971"/>
    </row>
    <row r="101" spans="1:7" ht="12.95" customHeight="1">
      <c r="A101" s="486" t="s">
        <v>1271</v>
      </c>
      <c r="B101" s="487" t="s">
        <v>1294</v>
      </c>
      <c r="C101" s="487" t="s">
        <v>1273</v>
      </c>
      <c r="D101" s="488">
        <v>50000</v>
      </c>
      <c r="E101" s="487">
        <v>0.11</v>
      </c>
      <c r="F101" s="488">
        <f>ROUND(D101*E101,1)</f>
        <v>5500</v>
      </c>
      <c r="G101" s="489"/>
    </row>
    <row r="102" spans="1:7" ht="12.95" customHeight="1">
      <c r="A102" s="486" t="s">
        <v>1198</v>
      </c>
      <c r="B102" s="490" t="s">
        <v>1274</v>
      </c>
      <c r="C102" s="487" t="s">
        <v>1275</v>
      </c>
      <c r="D102" s="487">
        <v>40</v>
      </c>
      <c r="E102" s="487">
        <v>60</v>
      </c>
      <c r="F102" s="488">
        <f>ROUND(D102*E102,1)</f>
        <v>2400</v>
      </c>
      <c r="G102" s="489"/>
    </row>
    <row r="103" spans="1:7" ht="12.95" customHeight="1">
      <c r="A103" s="486" t="s">
        <v>1276</v>
      </c>
      <c r="B103" s="487"/>
      <c r="C103" s="487"/>
      <c r="D103" s="487"/>
      <c r="E103" s="487"/>
      <c r="F103" s="488">
        <f>SUM(F101:F102)</f>
        <v>7900</v>
      </c>
      <c r="G103" s="489"/>
    </row>
    <row r="104" spans="1:7" ht="12.95" customHeight="1">
      <c r="A104" s="1969" t="s">
        <v>1307</v>
      </c>
      <c r="B104" s="1970"/>
      <c r="C104" s="1970"/>
      <c r="D104" s="1970"/>
      <c r="E104" s="1970"/>
      <c r="F104" s="1970"/>
      <c r="G104" s="1971"/>
    </row>
    <row r="105" spans="1:7" ht="12.95" customHeight="1">
      <c r="A105" s="486" t="s">
        <v>1295</v>
      </c>
      <c r="B105" s="487" t="s">
        <v>1278</v>
      </c>
      <c r="C105" s="487" t="s">
        <v>1279</v>
      </c>
      <c r="D105" s="488">
        <v>6350</v>
      </c>
      <c r="E105" s="487">
        <v>1.1000000000000001</v>
      </c>
      <c r="F105" s="488">
        <f>ROUND(D105*E105,1)</f>
        <v>6985</v>
      </c>
      <c r="G105" s="489"/>
    </row>
    <row r="106" spans="1:7" ht="12.95" customHeight="1">
      <c r="A106" s="486" t="s">
        <v>1276</v>
      </c>
      <c r="B106" s="487"/>
      <c r="C106" s="487"/>
      <c r="D106" s="487"/>
      <c r="E106" s="487"/>
      <c r="F106" s="488">
        <f>F105</f>
        <v>6985</v>
      </c>
      <c r="G106" s="489"/>
    </row>
    <row r="107" spans="1:7" ht="12.95" customHeight="1">
      <c r="A107" s="1969" t="s">
        <v>1308</v>
      </c>
      <c r="B107" s="1970"/>
      <c r="C107" s="1970"/>
      <c r="D107" s="1970"/>
      <c r="E107" s="1970"/>
      <c r="F107" s="1970"/>
      <c r="G107" s="1971"/>
    </row>
    <row r="108" spans="1:7" ht="12.95" customHeight="1">
      <c r="A108" s="486" t="s">
        <v>1280</v>
      </c>
      <c r="B108" s="487" t="s">
        <v>1281</v>
      </c>
      <c r="C108" s="487" t="s">
        <v>1282</v>
      </c>
      <c r="D108" s="487">
        <v>300</v>
      </c>
      <c r="E108" s="487">
        <v>1.1000000000000001</v>
      </c>
      <c r="F108" s="494">
        <f t="shared" ref="F108:F114" si="2">ROUND(D108*E108,1)</f>
        <v>330</v>
      </c>
      <c r="G108" s="489"/>
    </row>
    <row r="109" spans="1:7" ht="12.95" customHeight="1">
      <c r="A109" s="486" t="s">
        <v>1296</v>
      </c>
      <c r="B109" s="487" t="s">
        <v>1297</v>
      </c>
      <c r="C109" s="487" t="s">
        <v>1282</v>
      </c>
      <c r="D109" s="487">
        <v>305</v>
      </c>
      <c r="E109" s="487">
        <v>0.23</v>
      </c>
      <c r="F109" s="494">
        <f t="shared" si="2"/>
        <v>70.2</v>
      </c>
      <c r="G109" s="489"/>
    </row>
    <row r="110" spans="1:7" ht="12.95" customHeight="1">
      <c r="A110" s="486" t="s">
        <v>1298</v>
      </c>
      <c r="B110" s="487" t="s">
        <v>1299</v>
      </c>
      <c r="C110" s="487" t="s">
        <v>1282</v>
      </c>
      <c r="D110" s="487">
        <v>213</v>
      </c>
      <c r="E110" s="487">
        <v>0.5</v>
      </c>
      <c r="F110" s="494">
        <f t="shared" si="2"/>
        <v>106.5</v>
      </c>
      <c r="G110" s="489"/>
    </row>
    <row r="111" spans="1:7" ht="12.95" customHeight="1">
      <c r="A111" s="486" t="s">
        <v>1285</v>
      </c>
      <c r="B111" s="487" t="s">
        <v>1286</v>
      </c>
      <c r="C111" s="487" t="s">
        <v>1284</v>
      </c>
      <c r="D111" s="488">
        <v>12438</v>
      </c>
      <c r="E111" s="487">
        <v>3.7999999999999999E-2</v>
      </c>
      <c r="F111" s="494">
        <f t="shared" si="2"/>
        <v>472.6</v>
      </c>
      <c r="G111" s="489"/>
    </row>
    <row r="112" spans="1:7" ht="12.95" customHeight="1">
      <c r="A112" s="486" t="s">
        <v>967</v>
      </c>
      <c r="B112" s="487"/>
      <c r="C112" s="487" t="s">
        <v>820</v>
      </c>
      <c r="D112" s="488">
        <v>66051</v>
      </c>
      <c r="E112" s="487">
        <v>6.0000000000000001E-3</v>
      </c>
      <c r="F112" s="494">
        <f t="shared" si="2"/>
        <v>396.3</v>
      </c>
      <c r="G112" s="489"/>
    </row>
    <row r="113" spans="1:7" ht="12.95" customHeight="1">
      <c r="A113" s="486" t="s">
        <v>969</v>
      </c>
      <c r="B113" s="487"/>
      <c r="C113" s="487" t="s">
        <v>820</v>
      </c>
      <c r="D113" s="488">
        <v>38924</v>
      </c>
      <c r="E113" s="487">
        <v>1.2E-2</v>
      </c>
      <c r="F113" s="494">
        <f t="shared" si="2"/>
        <v>467.1</v>
      </c>
      <c r="G113" s="489"/>
    </row>
    <row r="114" spans="1:7" ht="12.95" customHeight="1">
      <c r="A114" s="486" t="s">
        <v>971</v>
      </c>
      <c r="B114" s="487"/>
      <c r="C114" s="487" t="s">
        <v>820</v>
      </c>
      <c r="D114" s="488">
        <v>52374</v>
      </c>
      <c r="E114" s="487">
        <v>2.4E-2</v>
      </c>
      <c r="F114" s="494">
        <f t="shared" si="2"/>
        <v>1257</v>
      </c>
      <c r="G114" s="489"/>
    </row>
    <row r="115" spans="1:7" ht="12.95" customHeight="1">
      <c r="A115" s="486" t="s">
        <v>1276</v>
      </c>
      <c r="B115" s="487"/>
      <c r="C115" s="487"/>
      <c r="D115" s="487"/>
      <c r="E115" s="487"/>
      <c r="F115" s="488">
        <f>SUM(F108:F114)</f>
        <v>3099.7</v>
      </c>
      <c r="G115" s="489"/>
    </row>
    <row r="116" spans="1:7" ht="12.95" customHeight="1">
      <c r="A116" s="1969" t="s">
        <v>1313</v>
      </c>
      <c r="B116" s="1970"/>
      <c r="C116" s="1970"/>
      <c r="D116" s="1970"/>
      <c r="E116" s="1970"/>
      <c r="F116" s="1970"/>
      <c r="G116" s="1971"/>
    </row>
    <row r="117" spans="1:7" ht="12.95" customHeight="1">
      <c r="A117" s="486" t="s">
        <v>1300</v>
      </c>
      <c r="B117" s="487" t="s">
        <v>1301</v>
      </c>
      <c r="C117" s="487" t="s">
        <v>1279</v>
      </c>
      <c r="D117" s="488">
        <v>2100</v>
      </c>
      <c r="E117" s="487">
        <v>1.2</v>
      </c>
      <c r="F117" s="494">
        <f>ROUND(D117*E117,1)</f>
        <v>2520</v>
      </c>
      <c r="G117" s="489"/>
    </row>
    <row r="118" spans="1:7" ht="12.95" customHeight="1">
      <c r="A118" s="486" t="s">
        <v>1302</v>
      </c>
      <c r="B118" s="487" t="s">
        <v>1303</v>
      </c>
      <c r="C118" s="487" t="s">
        <v>1304</v>
      </c>
      <c r="D118" s="487">
        <v>120</v>
      </c>
      <c r="E118" s="487">
        <v>1.2</v>
      </c>
      <c r="F118" s="494">
        <f>ROUND(D118*E118,1)</f>
        <v>144</v>
      </c>
      <c r="G118" s="489"/>
    </row>
    <row r="119" spans="1:7" ht="12.95" customHeight="1">
      <c r="A119" s="486" t="s">
        <v>970</v>
      </c>
      <c r="B119" s="487"/>
      <c r="C119" s="487" t="s">
        <v>820</v>
      </c>
      <c r="D119" s="488">
        <v>69773</v>
      </c>
      <c r="E119" s="487">
        <v>5.0000000000000001E-3</v>
      </c>
      <c r="F119" s="494">
        <f>ROUND(D119*E119,1)</f>
        <v>348.9</v>
      </c>
      <c r="G119" s="489"/>
    </row>
    <row r="120" spans="1:7" ht="12.95" customHeight="1">
      <c r="A120" s="486" t="s">
        <v>967</v>
      </c>
      <c r="B120" s="487"/>
      <c r="C120" s="487" t="s">
        <v>820</v>
      </c>
      <c r="D120" s="488">
        <v>66051</v>
      </c>
      <c r="E120" s="487">
        <v>0.02</v>
      </c>
      <c r="F120" s="494">
        <f>ROUND(D120*E120,1)</f>
        <v>1321</v>
      </c>
      <c r="G120" s="489"/>
    </row>
    <row r="121" spans="1:7" ht="12.95" customHeight="1">
      <c r="A121" s="486" t="s">
        <v>971</v>
      </c>
      <c r="B121" s="487"/>
      <c r="C121" s="487" t="s">
        <v>820</v>
      </c>
      <c r="D121" s="488">
        <v>52374</v>
      </c>
      <c r="E121" s="487">
        <v>0.02</v>
      </c>
      <c r="F121" s="494">
        <f>ROUND(D121*E121,1)</f>
        <v>1047.5</v>
      </c>
      <c r="G121" s="489"/>
    </row>
    <row r="122" spans="1:7" ht="12.95" customHeight="1">
      <c r="A122" s="486" t="s">
        <v>1276</v>
      </c>
      <c r="B122" s="487"/>
      <c r="C122" s="487"/>
      <c r="D122" s="487"/>
      <c r="E122" s="487"/>
      <c r="F122" s="488">
        <f>SUM(F117:F121)</f>
        <v>5381.4</v>
      </c>
      <c r="G122" s="489"/>
    </row>
    <row r="123" spans="1:7" ht="12.95" customHeight="1">
      <c r="A123" s="1969" t="s">
        <v>1314</v>
      </c>
      <c r="B123" s="1970"/>
      <c r="C123" s="1970"/>
      <c r="D123" s="1970"/>
      <c r="E123" s="1970"/>
      <c r="F123" s="1970"/>
      <c r="G123" s="1971"/>
    </row>
    <row r="124" spans="1:7" ht="12.95" customHeight="1">
      <c r="A124" s="486" t="s">
        <v>1202</v>
      </c>
      <c r="B124" s="487" t="s">
        <v>1283</v>
      </c>
      <c r="C124" s="487" t="s">
        <v>1284</v>
      </c>
      <c r="D124" s="488">
        <v>21828</v>
      </c>
      <c r="E124" s="487">
        <v>4.4999999999999998E-2</v>
      </c>
      <c r="F124" s="494">
        <f>ROUND(D124*E124,1)</f>
        <v>982.3</v>
      </c>
      <c r="G124" s="489"/>
    </row>
    <row r="125" spans="1:7" ht="12.95" customHeight="1">
      <c r="A125" s="486" t="s">
        <v>1285</v>
      </c>
      <c r="B125" s="487" t="s">
        <v>1286</v>
      </c>
      <c r="C125" s="487"/>
      <c r="D125" s="488">
        <v>10671</v>
      </c>
      <c r="E125" s="487">
        <v>4.4999999999999998E-2</v>
      </c>
      <c r="F125" s="494">
        <f>ROUND(D125*E125,1)</f>
        <v>480.2</v>
      </c>
      <c r="G125" s="489"/>
    </row>
    <row r="126" spans="1:7" ht="12.95" customHeight="1">
      <c r="A126" s="486" t="s">
        <v>1287</v>
      </c>
      <c r="B126" s="487" t="s">
        <v>1288</v>
      </c>
      <c r="C126" s="487"/>
      <c r="D126" s="488">
        <v>5174</v>
      </c>
      <c r="E126" s="487">
        <v>4.4999999999999998E-2</v>
      </c>
      <c r="F126" s="494">
        <f>ROUND(D126*E126,1)</f>
        <v>232.8</v>
      </c>
      <c r="G126" s="489"/>
    </row>
    <row r="127" spans="1:7" ht="12.95" customHeight="1">
      <c r="A127" s="486" t="s">
        <v>772</v>
      </c>
      <c r="B127" s="487" t="s">
        <v>1289</v>
      </c>
      <c r="C127" s="487"/>
      <c r="D127" s="488">
        <v>9139</v>
      </c>
      <c r="E127" s="487">
        <v>4.4999999999999998E-2</v>
      </c>
      <c r="F127" s="494">
        <f>ROUND(D127*E127,1)</f>
        <v>411.3</v>
      </c>
      <c r="G127" s="489"/>
    </row>
    <row r="128" spans="1:7" ht="12.95" customHeight="1">
      <c r="A128" s="486" t="s">
        <v>817</v>
      </c>
      <c r="B128" s="487" t="s">
        <v>1290</v>
      </c>
      <c r="C128" s="487"/>
      <c r="D128" s="488">
        <v>12030</v>
      </c>
      <c r="E128" s="487">
        <v>4.4999999999999998E-2</v>
      </c>
      <c r="F128" s="494">
        <f>ROUND(D128*E128,1)</f>
        <v>541.4</v>
      </c>
      <c r="G128" s="489"/>
    </row>
    <row r="129" spans="1:7" ht="12.95" customHeight="1">
      <c r="A129" s="486" t="s">
        <v>1276</v>
      </c>
      <c r="B129" s="487"/>
      <c r="C129" s="487"/>
      <c r="D129" s="487"/>
      <c r="E129" s="487"/>
      <c r="F129" s="488">
        <f>SUM(F124:F128)</f>
        <v>2648</v>
      </c>
      <c r="G129" s="489"/>
    </row>
    <row r="130" spans="1:7" ht="12.95" customHeight="1">
      <c r="A130" s="1969" t="s">
        <v>1315</v>
      </c>
      <c r="B130" s="1970"/>
      <c r="C130" s="1970"/>
      <c r="D130" s="1970"/>
      <c r="E130" s="1970"/>
      <c r="F130" s="1970"/>
      <c r="G130" s="1971"/>
    </row>
    <row r="131" spans="1:7" ht="12.95" customHeight="1">
      <c r="A131" s="486" t="s">
        <v>970</v>
      </c>
      <c r="B131" s="487"/>
      <c r="C131" s="487" t="s">
        <v>820</v>
      </c>
      <c r="D131" s="488">
        <v>69773</v>
      </c>
      <c r="E131" s="487">
        <v>5.0000000000000001E-3</v>
      </c>
      <c r="F131" s="494">
        <f t="shared" ref="F131:F139" si="3">ROUND(D131*E131,1)</f>
        <v>348.9</v>
      </c>
      <c r="G131" s="489"/>
    </row>
    <row r="132" spans="1:7" ht="12.95" customHeight="1">
      <c r="A132" s="486" t="s">
        <v>967</v>
      </c>
      <c r="B132" s="487"/>
      <c r="C132" s="487" t="s">
        <v>820</v>
      </c>
      <c r="D132" s="488">
        <v>66051</v>
      </c>
      <c r="E132" s="487">
        <v>0.04</v>
      </c>
      <c r="F132" s="494">
        <f t="shared" si="3"/>
        <v>2642</v>
      </c>
      <c r="G132" s="489"/>
    </row>
    <row r="133" spans="1:7" ht="12.95" customHeight="1">
      <c r="A133" s="486" t="s">
        <v>976</v>
      </c>
      <c r="B133" s="487"/>
      <c r="C133" s="487" t="s">
        <v>820</v>
      </c>
      <c r="D133" s="488">
        <v>61664</v>
      </c>
      <c r="E133" s="487">
        <v>4.0000000000000001E-3</v>
      </c>
      <c r="F133" s="494">
        <f t="shared" si="3"/>
        <v>246.7</v>
      </c>
      <c r="G133" s="489"/>
    </row>
    <row r="134" spans="1:7" ht="12.95" customHeight="1">
      <c r="A134" s="486" t="s">
        <v>971</v>
      </c>
      <c r="B134" s="487"/>
      <c r="C134" s="487" t="s">
        <v>820</v>
      </c>
      <c r="D134" s="488">
        <v>52374</v>
      </c>
      <c r="E134" s="487">
        <v>3.5000000000000003E-2</v>
      </c>
      <c r="F134" s="494">
        <f t="shared" si="3"/>
        <v>1833.1</v>
      </c>
      <c r="G134" s="489"/>
    </row>
    <row r="135" spans="1:7" ht="12.95" customHeight="1">
      <c r="A135" s="486" t="s">
        <v>1202</v>
      </c>
      <c r="B135" s="487" t="s">
        <v>1283</v>
      </c>
      <c r="C135" s="487" t="s">
        <v>1284</v>
      </c>
      <c r="D135" s="488">
        <v>16925</v>
      </c>
      <c r="E135" s="487">
        <v>4.4999999999999998E-2</v>
      </c>
      <c r="F135" s="494">
        <f t="shared" si="3"/>
        <v>761.6</v>
      </c>
      <c r="G135" s="489"/>
    </row>
    <row r="136" spans="1:7" ht="12.95" customHeight="1">
      <c r="A136" s="486" t="s">
        <v>1285</v>
      </c>
      <c r="B136" s="487" t="s">
        <v>1286</v>
      </c>
      <c r="C136" s="487" t="s">
        <v>1284</v>
      </c>
      <c r="D136" s="488">
        <v>12438</v>
      </c>
      <c r="E136" s="487">
        <v>4.4999999999999998E-2</v>
      </c>
      <c r="F136" s="494">
        <f t="shared" si="3"/>
        <v>559.70000000000005</v>
      </c>
      <c r="G136" s="489"/>
    </row>
    <row r="137" spans="1:7" ht="12.95" customHeight="1">
      <c r="A137" s="486" t="s">
        <v>1287</v>
      </c>
      <c r="B137" s="487" t="s">
        <v>1288</v>
      </c>
      <c r="C137" s="487"/>
      <c r="D137" s="488">
        <v>12886</v>
      </c>
      <c r="E137" s="487">
        <v>4.4999999999999998E-2</v>
      </c>
      <c r="F137" s="494">
        <f t="shared" si="3"/>
        <v>579.9</v>
      </c>
      <c r="G137" s="489"/>
    </row>
    <row r="138" spans="1:7" ht="12.95" customHeight="1">
      <c r="A138" s="486" t="s">
        <v>772</v>
      </c>
      <c r="B138" s="487" t="s">
        <v>1289</v>
      </c>
      <c r="C138" s="487"/>
      <c r="D138" s="488">
        <v>12886</v>
      </c>
      <c r="E138" s="487">
        <v>4.4999999999999998E-2</v>
      </c>
      <c r="F138" s="494">
        <f t="shared" si="3"/>
        <v>579.9</v>
      </c>
      <c r="G138" s="489"/>
    </row>
    <row r="139" spans="1:7" ht="12.95" customHeight="1">
      <c r="A139" s="486" t="s">
        <v>817</v>
      </c>
      <c r="B139" s="487" t="s">
        <v>1290</v>
      </c>
      <c r="C139" s="487"/>
      <c r="D139" s="488">
        <v>12886</v>
      </c>
      <c r="E139" s="487">
        <v>4.4999999999999998E-2</v>
      </c>
      <c r="F139" s="494">
        <f t="shared" si="3"/>
        <v>579.9</v>
      </c>
      <c r="G139" s="489"/>
    </row>
    <row r="140" spans="1:7" ht="12.95" customHeight="1">
      <c r="A140" s="486" t="s">
        <v>1276</v>
      </c>
      <c r="B140" s="487"/>
      <c r="C140" s="487"/>
      <c r="D140" s="487"/>
      <c r="E140" s="487"/>
      <c r="F140" s="488">
        <f>SUM(F131:F139)</f>
        <v>8131.6999999999989</v>
      </c>
      <c r="G140" s="489"/>
    </row>
    <row r="141" spans="1:7" ht="12.95" customHeight="1">
      <c r="A141" s="1969" t="s">
        <v>1316</v>
      </c>
      <c r="B141" s="1970"/>
      <c r="C141" s="1970"/>
      <c r="D141" s="1970"/>
      <c r="E141" s="1970"/>
      <c r="F141" s="1970"/>
      <c r="G141" s="1971"/>
    </row>
    <row r="142" spans="1:7" ht="12.95" customHeight="1">
      <c r="A142" s="486" t="s">
        <v>768</v>
      </c>
      <c r="B142" s="487">
        <v>25</v>
      </c>
      <c r="C142" s="487" t="s">
        <v>1284</v>
      </c>
      <c r="D142" s="488">
        <v>21618</v>
      </c>
      <c r="E142" s="487">
        <v>0.04</v>
      </c>
      <c r="F142" s="494">
        <f t="shared" ref="F142:F147" si="4">ROUND(D142*E142,1)</f>
        <v>864.7</v>
      </c>
      <c r="G142" s="489"/>
    </row>
    <row r="143" spans="1:7" ht="12.95" customHeight="1">
      <c r="A143" s="486" t="s">
        <v>1202</v>
      </c>
      <c r="B143" s="487" t="s">
        <v>1283</v>
      </c>
      <c r="C143" s="487" t="s">
        <v>1284</v>
      </c>
      <c r="D143" s="488">
        <v>7905</v>
      </c>
      <c r="E143" s="487">
        <v>4.4999999999999998E-2</v>
      </c>
      <c r="F143" s="494">
        <f t="shared" si="4"/>
        <v>355.7</v>
      </c>
      <c r="G143" s="489"/>
    </row>
    <row r="144" spans="1:7" ht="12.95" customHeight="1">
      <c r="A144" s="486" t="s">
        <v>1285</v>
      </c>
      <c r="B144" s="487" t="s">
        <v>1286</v>
      </c>
      <c r="C144" s="487" t="s">
        <v>1284</v>
      </c>
      <c r="D144" s="488">
        <v>4678</v>
      </c>
      <c r="E144" s="487">
        <v>4.4999999999999998E-2</v>
      </c>
      <c r="F144" s="494">
        <f t="shared" si="4"/>
        <v>210.5</v>
      </c>
      <c r="G144" s="489"/>
    </row>
    <row r="145" spans="1:7" ht="12.95" customHeight="1">
      <c r="A145" s="486" t="s">
        <v>1291</v>
      </c>
      <c r="B145" s="487" t="s">
        <v>1288</v>
      </c>
      <c r="C145" s="487" t="s">
        <v>1284</v>
      </c>
      <c r="D145" s="488">
        <v>11537</v>
      </c>
      <c r="E145" s="487">
        <v>4.4999999999999998E-2</v>
      </c>
      <c r="F145" s="494">
        <f t="shared" si="4"/>
        <v>519.20000000000005</v>
      </c>
      <c r="G145" s="489"/>
    </row>
    <row r="146" spans="1:7" ht="12.95" customHeight="1">
      <c r="A146" s="486" t="s">
        <v>772</v>
      </c>
      <c r="B146" s="487" t="s">
        <v>1289</v>
      </c>
      <c r="C146" s="487" t="s">
        <v>1284</v>
      </c>
      <c r="D146" s="488">
        <v>9690</v>
      </c>
      <c r="E146" s="487">
        <v>4.4999999999999998E-2</v>
      </c>
      <c r="F146" s="494">
        <f t="shared" si="4"/>
        <v>436.1</v>
      </c>
      <c r="G146" s="489"/>
    </row>
    <row r="147" spans="1:7" ht="12.95" customHeight="1">
      <c r="A147" s="486" t="s">
        <v>817</v>
      </c>
      <c r="B147" s="487" t="s">
        <v>1292</v>
      </c>
      <c r="C147" s="487" t="s">
        <v>1284</v>
      </c>
      <c r="D147" s="488">
        <v>6008</v>
      </c>
      <c r="E147" s="487">
        <v>4.4999999999999998E-2</v>
      </c>
      <c r="F147" s="494">
        <f t="shared" si="4"/>
        <v>270.39999999999998</v>
      </c>
      <c r="G147" s="489"/>
    </row>
    <row r="148" spans="1:7" ht="12.95" customHeight="1">
      <c r="A148" s="486" t="s">
        <v>1276</v>
      </c>
      <c r="B148" s="487"/>
      <c r="C148" s="487"/>
      <c r="D148" s="487"/>
      <c r="E148" s="487"/>
      <c r="F148" s="488">
        <f>SUM(F142:F147)</f>
        <v>2656.6000000000004</v>
      </c>
      <c r="G148" s="489"/>
    </row>
    <row r="149" spans="1:7" ht="12.95" customHeight="1">
      <c r="A149" s="486"/>
      <c r="B149" s="487"/>
      <c r="C149" s="487"/>
      <c r="D149" s="487"/>
      <c r="E149" s="487"/>
      <c r="F149" s="487"/>
      <c r="G149" s="489"/>
    </row>
    <row r="150" spans="1:7" ht="12.95" customHeight="1">
      <c r="A150" s="499" t="s">
        <v>1293</v>
      </c>
      <c r="B150" s="500"/>
      <c r="C150" s="500"/>
      <c r="D150" s="500"/>
      <c r="E150" s="500"/>
      <c r="F150" s="501">
        <f>F148+F140+F129+F122+F115+F106+F103</f>
        <v>36802.399999999994</v>
      </c>
      <c r="G150" s="502"/>
    </row>
    <row r="151" spans="1:7" ht="12.95" customHeight="1">
      <c r="A151" s="1972" t="s">
        <v>1317</v>
      </c>
      <c r="B151" s="1972"/>
      <c r="C151" s="1972"/>
      <c r="D151" s="1972"/>
      <c r="E151" s="1972"/>
      <c r="F151" s="1972"/>
      <c r="G151" s="1972"/>
    </row>
    <row r="152" spans="1:7" ht="12.95" customHeight="1">
      <c r="A152" s="503" t="s">
        <v>1264</v>
      </c>
      <c r="B152" s="504" t="s">
        <v>1265</v>
      </c>
      <c r="C152" s="504" t="s">
        <v>1266</v>
      </c>
      <c r="D152" s="504" t="s">
        <v>1267</v>
      </c>
      <c r="E152" s="504" t="s">
        <v>1268</v>
      </c>
      <c r="F152" s="504" t="s">
        <v>1269</v>
      </c>
      <c r="G152" s="505" t="s">
        <v>1270</v>
      </c>
    </row>
    <row r="153" spans="1:7" ht="12.95" customHeight="1">
      <c r="A153" s="1974" t="s">
        <v>1306</v>
      </c>
      <c r="B153" s="1975"/>
      <c r="C153" s="1975"/>
      <c r="D153" s="1975"/>
      <c r="E153" s="1975"/>
      <c r="F153" s="1975"/>
      <c r="G153" s="1976"/>
    </row>
    <row r="154" spans="1:7" ht="12.95" customHeight="1">
      <c r="A154" s="506" t="s">
        <v>1271</v>
      </c>
      <c r="B154" s="507" t="s">
        <v>1294</v>
      </c>
      <c r="C154" s="507" t="s">
        <v>1273</v>
      </c>
      <c r="D154" s="508">
        <v>50000</v>
      </c>
      <c r="E154" s="507">
        <v>0.16500000000000001</v>
      </c>
      <c r="F154" s="494">
        <f>ROUND(D154*E154,1)</f>
        <v>8250</v>
      </c>
      <c r="G154" s="509"/>
    </row>
    <row r="155" spans="1:7" ht="12.95" customHeight="1">
      <c r="A155" s="506" t="s">
        <v>1198</v>
      </c>
      <c r="B155" s="507" t="s">
        <v>1274</v>
      </c>
      <c r="C155" s="507" t="s">
        <v>1275</v>
      </c>
      <c r="D155" s="507">
        <v>38</v>
      </c>
      <c r="E155" s="507">
        <v>80</v>
      </c>
      <c r="F155" s="494">
        <f>ROUND(D155*E155,1)</f>
        <v>3040</v>
      </c>
      <c r="G155" s="509"/>
    </row>
    <row r="156" spans="1:7" ht="12.95" customHeight="1">
      <c r="A156" s="506" t="s">
        <v>1276</v>
      </c>
      <c r="B156" s="507"/>
      <c r="C156" s="507"/>
      <c r="D156" s="507"/>
      <c r="E156" s="507"/>
      <c r="F156" s="508">
        <f>SUM(F154:F155)</f>
        <v>11290</v>
      </c>
      <c r="G156" s="509"/>
    </row>
    <row r="157" spans="1:7" ht="12.95" customHeight="1">
      <c r="A157" s="1974" t="s">
        <v>1307</v>
      </c>
      <c r="B157" s="1975"/>
      <c r="C157" s="1975"/>
      <c r="D157" s="1975"/>
      <c r="E157" s="1975"/>
      <c r="F157" s="1975"/>
      <c r="G157" s="1976"/>
    </row>
    <row r="158" spans="1:7" ht="12.95" customHeight="1">
      <c r="A158" s="506" t="s">
        <v>1295</v>
      </c>
      <c r="B158" s="507" t="s">
        <v>1278</v>
      </c>
      <c r="C158" s="507" t="s">
        <v>1279</v>
      </c>
      <c r="D158" s="508">
        <v>6350</v>
      </c>
      <c r="E158" s="507">
        <v>1.1000000000000001</v>
      </c>
      <c r="F158" s="494">
        <f>ROUND(D158*E158,1)</f>
        <v>6985</v>
      </c>
      <c r="G158" s="509"/>
    </row>
    <row r="159" spans="1:7" ht="12.95" customHeight="1">
      <c r="A159" s="506" t="s">
        <v>1276</v>
      </c>
      <c r="B159" s="507"/>
      <c r="C159" s="507"/>
      <c r="D159" s="507"/>
      <c r="E159" s="507"/>
      <c r="F159" s="508">
        <f>F158</f>
        <v>6985</v>
      </c>
      <c r="G159" s="509"/>
    </row>
    <row r="160" spans="1:7" ht="12.95" customHeight="1">
      <c r="A160" s="1974" t="s">
        <v>1308</v>
      </c>
      <c r="B160" s="1975"/>
      <c r="C160" s="1975"/>
      <c r="D160" s="1975"/>
      <c r="E160" s="1975"/>
      <c r="F160" s="1975"/>
      <c r="G160" s="1976"/>
    </row>
    <row r="161" spans="1:7" ht="12.95" customHeight="1">
      <c r="A161" s="506" t="s">
        <v>1280</v>
      </c>
      <c r="B161" s="507" t="s">
        <v>1281</v>
      </c>
      <c r="C161" s="507" t="s">
        <v>1282</v>
      </c>
      <c r="D161" s="507">
        <v>300</v>
      </c>
      <c r="E161" s="507">
        <v>1.1000000000000001</v>
      </c>
      <c r="F161" s="494">
        <f t="shared" ref="F161:F167" si="5">ROUND(D161*E161,1)</f>
        <v>330</v>
      </c>
      <c r="G161" s="509"/>
    </row>
    <row r="162" spans="1:7" ht="12.95" customHeight="1">
      <c r="A162" s="506" t="s">
        <v>1296</v>
      </c>
      <c r="B162" s="507" t="s">
        <v>1297</v>
      </c>
      <c r="C162" s="507" t="s">
        <v>1282</v>
      </c>
      <c r="D162" s="507">
        <v>305</v>
      </c>
      <c r="E162" s="507">
        <v>0.23</v>
      </c>
      <c r="F162" s="494">
        <f t="shared" si="5"/>
        <v>70.2</v>
      </c>
      <c r="G162" s="509"/>
    </row>
    <row r="163" spans="1:7" ht="12.95" customHeight="1">
      <c r="A163" s="506" t="s">
        <v>1298</v>
      </c>
      <c r="B163" s="507" t="s">
        <v>1299</v>
      </c>
      <c r="C163" s="507" t="s">
        <v>1282</v>
      </c>
      <c r="D163" s="507">
        <v>213</v>
      </c>
      <c r="E163" s="507">
        <v>0.5</v>
      </c>
      <c r="F163" s="494">
        <f t="shared" si="5"/>
        <v>106.5</v>
      </c>
      <c r="G163" s="509"/>
    </row>
    <row r="164" spans="1:7" ht="12.95" customHeight="1">
      <c r="A164" s="506" t="s">
        <v>1285</v>
      </c>
      <c r="B164" s="507" t="s">
        <v>1286</v>
      </c>
      <c r="C164" s="507" t="s">
        <v>1284</v>
      </c>
      <c r="D164" s="508">
        <v>12438</v>
      </c>
      <c r="E164" s="507">
        <v>3.7999999999999999E-2</v>
      </c>
      <c r="F164" s="494">
        <f t="shared" si="5"/>
        <v>472.6</v>
      </c>
      <c r="G164" s="509"/>
    </row>
    <row r="165" spans="1:7" ht="12.95" customHeight="1">
      <c r="A165" s="506" t="s">
        <v>967</v>
      </c>
      <c r="B165" s="507"/>
      <c r="C165" s="507" t="s">
        <v>820</v>
      </c>
      <c r="D165" s="508">
        <v>66051</v>
      </c>
      <c r="E165" s="507">
        <v>6.0000000000000001E-3</v>
      </c>
      <c r="F165" s="494">
        <f t="shared" si="5"/>
        <v>396.3</v>
      </c>
      <c r="G165" s="509"/>
    </row>
    <row r="166" spans="1:7" ht="12.95" customHeight="1">
      <c r="A166" s="506" t="s">
        <v>969</v>
      </c>
      <c r="B166" s="507"/>
      <c r="C166" s="507" t="s">
        <v>820</v>
      </c>
      <c r="D166" s="508">
        <v>38924</v>
      </c>
      <c r="E166" s="507">
        <v>1.2E-2</v>
      </c>
      <c r="F166" s="494">
        <f t="shared" si="5"/>
        <v>467.1</v>
      </c>
      <c r="G166" s="509"/>
    </row>
    <row r="167" spans="1:7" ht="12.95" customHeight="1">
      <c r="A167" s="506" t="s">
        <v>971</v>
      </c>
      <c r="B167" s="507"/>
      <c r="C167" s="507" t="s">
        <v>820</v>
      </c>
      <c r="D167" s="508">
        <v>52374</v>
      </c>
      <c r="E167" s="507">
        <v>2.4E-2</v>
      </c>
      <c r="F167" s="494">
        <f t="shared" si="5"/>
        <v>1257</v>
      </c>
      <c r="G167" s="509"/>
    </row>
    <row r="168" spans="1:7" ht="12.95" customHeight="1">
      <c r="A168" s="506" t="s">
        <v>1276</v>
      </c>
      <c r="B168" s="507"/>
      <c r="C168" s="507"/>
      <c r="D168" s="507"/>
      <c r="E168" s="507"/>
      <c r="F168" s="508">
        <v>4042</v>
      </c>
      <c r="G168" s="509"/>
    </row>
    <row r="169" spans="1:7" ht="12.95" customHeight="1">
      <c r="A169" s="1974" t="s">
        <v>1313</v>
      </c>
      <c r="B169" s="1975"/>
      <c r="C169" s="1975"/>
      <c r="D169" s="1975"/>
      <c r="E169" s="1975"/>
      <c r="F169" s="1975"/>
      <c r="G169" s="1976"/>
    </row>
    <row r="170" spans="1:7" ht="12.95" customHeight="1">
      <c r="A170" s="506" t="s">
        <v>1300</v>
      </c>
      <c r="B170" s="507" t="s">
        <v>1301</v>
      </c>
      <c r="C170" s="507" t="s">
        <v>1279</v>
      </c>
      <c r="D170" s="508">
        <v>2100</v>
      </c>
      <c r="E170" s="507">
        <v>1.2</v>
      </c>
      <c r="F170" s="494">
        <f>ROUND(D170*E170,1)</f>
        <v>2520</v>
      </c>
      <c r="G170" s="509"/>
    </row>
    <row r="171" spans="1:7" ht="12.95" customHeight="1">
      <c r="A171" s="506" t="s">
        <v>1302</v>
      </c>
      <c r="B171" s="507" t="s">
        <v>1303</v>
      </c>
      <c r="C171" s="507" t="s">
        <v>1304</v>
      </c>
      <c r="D171" s="507">
        <v>120</v>
      </c>
      <c r="E171" s="507">
        <v>1.2</v>
      </c>
      <c r="F171" s="494">
        <f>ROUND(D171*E171,1)</f>
        <v>144</v>
      </c>
      <c r="G171" s="509"/>
    </row>
    <row r="172" spans="1:7" ht="12.95" customHeight="1">
      <c r="A172" s="506" t="s">
        <v>970</v>
      </c>
      <c r="B172" s="507"/>
      <c r="C172" s="507" t="s">
        <v>820</v>
      </c>
      <c r="D172" s="508">
        <v>69773</v>
      </c>
      <c r="E172" s="507">
        <v>5.0000000000000001E-3</v>
      </c>
      <c r="F172" s="494">
        <f>ROUND(D172*E172,1)</f>
        <v>348.9</v>
      </c>
      <c r="G172" s="509"/>
    </row>
    <row r="173" spans="1:7" ht="12.95" customHeight="1">
      <c r="A173" s="506" t="s">
        <v>967</v>
      </c>
      <c r="B173" s="507"/>
      <c r="C173" s="507" t="s">
        <v>820</v>
      </c>
      <c r="D173" s="508">
        <v>66051</v>
      </c>
      <c r="E173" s="507">
        <v>0.02</v>
      </c>
      <c r="F173" s="494">
        <f>ROUND(D173*E173,1)</f>
        <v>1321</v>
      </c>
      <c r="G173" s="509"/>
    </row>
    <row r="174" spans="1:7" ht="12.95" customHeight="1">
      <c r="A174" s="506" t="s">
        <v>971</v>
      </c>
      <c r="B174" s="507"/>
      <c r="C174" s="507" t="s">
        <v>820</v>
      </c>
      <c r="D174" s="508">
        <v>52374</v>
      </c>
      <c r="E174" s="507">
        <v>0.02</v>
      </c>
      <c r="F174" s="494">
        <f>ROUND(D174*E174,1)</f>
        <v>1047.5</v>
      </c>
      <c r="G174" s="509"/>
    </row>
    <row r="175" spans="1:7" ht="12.95" customHeight="1">
      <c r="A175" s="506" t="s">
        <v>1276</v>
      </c>
      <c r="B175" s="507"/>
      <c r="C175" s="507"/>
      <c r="D175" s="507"/>
      <c r="E175" s="507"/>
      <c r="F175" s="508">
        <v>5381</v>
      </c>
      <c r="G175" s="509"/>
    </row>
    <row r="176" spans="1:7" ht="12.95" customHeight="1">
      <c r="A176" s="1974" t="s">
        <v>1314</v>
      </c>
      <c r="B176" s="1975"/>
      <c r="C176" s="1975"/>
      <c r="D176" s="1975"/>
      <c r="E176" s="1975"/>
      <c r="F176" s="1975"/>
      <c r="G176" s="1976"/>
    </row>
    <row r="177" spans="1:7" ht="12.95" customHeight="1">
      <c r="A177" s="506" t="s">
        <v>1202</v>
      </c>
      <c r="B177" s="507" t="s">
        <v>1283</v>
      </c>
      <c r="C177" s="507" t="s">
        <v>1284</v>
      </c>
      <c r="D177" s="508">
        <v>21828</v>
      </c>
      <c r="E177" s="507">
        <v>7.0000000000000007E-2</v>
      </c>
      <c r="F177" s="494">
        <f>ROUND(D177*E177,1)</f>
        <v>1528</v>
      </c>
      <c r="G177" s="509"/>
    </row>
    <row r="178" spans="1:7" ht="12.95" customHeight="1">
      <c r="A178" s="506" t="s">
        <v>1285</v>
      </c>
      <c r="B178" s="507" t="s">
        <v>1286</v>
      </c>
      <c r="C178" s="507"/>
      <c r="D178" s="508">
        <v>10671</v>
      </c>
      <c r="E178" s="507">
        <v>7.0000000000000007E-2</v>
      </c>
      <c r="F178" s="494">
        <f>ROUND(D178*E178,1)</f>
        <v>747</v>
      </c>
      <c r="G178" s="509"/>
    </row>
    <row r="179" spans="1:7" ht="12.95" customHeight="1">
      <c r="A179" s="506" t="s">
        <v>1287</v>
      </c>
      <c r="B179" s="507" t="s">
        <v>1288</v>
      </c>
      <c r="C179" s="507"/>
      <c r="D179" s="508">
        <v>5174</v>
      </c>
      <c r="E179" s="507">
        <v>7.0000000000000007E-2</v>
      </c>
      <c r="F179" s="494">
        <f>ROUND(D179*E179,1)</f>
        <v>362.2</v>
      </c>
      <c r="G179" s="509"/>
    </row>
    <row r="180" spans="1:7" ht="12.95" customHeight="1">
      <c r="A180" s="506" t="s">
        <v>772</v>
      </c>
      <c r="B180" s="507" t="s">
        <v>1289</v>
      </c>
      <c r="C180" s="507"/>
      <c r="D180" s="508">
        <v>9139</v>
      </c>
      <c r="E180" s="507">
        <v>7.0000000000000007E-2</v>
      </c>
      <c r="F180" s="494">
        <f>ROUND(D180*E180,1)</f>
        <v>639.70000000000005</v>
      </c>
      <c r="G180" s="509"/>
    </row>
    <row r="181" spans="1:7" ht="12.95" customHeight="1">
      <c r="A181" s="506" t="s">
        <v>817</v>
      </c>
      <c r="B181" s="507" t="s">
        <v>1290</v>
      </c>
      <c r="C181" s="507"/>
      <c r="D181" s="508">
        <v>12030</v>
      </c>
      <c r="E181" s="507">
        <v>7.0000000000000007E-2</v>
      </c>
      <c r="F181" s="494">
        <f>ROUND(D181*E181,1)</f>
        <v>842.1</v>
      </c>
      <c r="G181" s="509"/>
    </row>
    <row r="182" spans="1:7" ht="12.95" customHeight="1">
      <c r="A182" s="506" t="s">
        <v>1276</v>
      </c>
      <c r="B182" s="507"/>
      <c r="C182" s="507"/>
      <c r="D182" s="507"/>
      <c r="E182" s="507"/>
      <c r="F182" s="508">
        <v>4119</v>
      </c>
      <c r="G182" s="509"/>
    </row>
    <row r="183" spans="1:7" ht="12.95" customHeight="1">
      <c r="A183" s="1974" t="s">
        <v>1315</v>
      </c>
      <c r="B183" s="1975"/>
      <c r="C183" s="1975"/>
      <c r="D183" s="1975"/>
      <c r="E183" s="1975"/>
      <c r="F183" s="1975"/>
      <c r="G183" s="1976"/>
    </row>
    <row r="184" spans="1:7" ht="12.95" customHeight="1">
      <c r="A184" s="506" t="s">
        <v>970</v>
      </c>
      <c r="B184" s="507"/>
      <c r="C184" s="507" t="s">
        <v>820</v>
      </c>
      <c r="D184" s="508">
        <v>69773</v>
      </c>
      <c r="E184" s="507">
        <v>7.0000000000000001E-3</v>
      </c>
      <c r="F184" s="494">
        <f t="shared" ref="F184:F192" si="6">ROUND(D184*E184,1)</f>
        <v>488.4</v>
      </c>
      <c r="G184" s="509"/>
    </row>
    <row r="185" spans="1:7" ht="12.95" customHeight="1">
      <c r="A185" s="506" t="s">
        <v>967</v>
      </c>
      <c r="B185" s="507"/>
      <c r="C185" s="507" t="s">
        <v>820</v>
      </c>
      <c r="D185" s="508">
        <v>66051</v>
      </c>
      <c r="E185" s="507">
        <v>0.05</v>
      </c>
      <c r="F185" s="494">
        <f t="shared" si="6"/>
        <v>3302.6</v>
      </c>
      <c r="G185" s="509"/>
    </row>
    <row r="186" spans="1:7" ht="12.95" customHeight="1">
      <c r="A186" s="506" t="s">
        <v>976</v>
      </c>
      <c r="B186" s="507"/>
      <c r="C186" s="507" t="s">
        <v>820</v>
      </c>
      <c r="D186" s="508">
        <v>61664</v>
      </c>
      <c r="E186" s="507">
        <v>6.0000000000000001E-3</v>
      </c>
      <c r="F186" s="494">
        <f t="shared" si="6"/>
        <v>370</v>
      </c>
      <c r="G186" s="509"/>
    </row>
    <row r="187" spans="1:7" ht="12.95" customHeight="1">
      <c r="A187" s="506" t="s">
        <v>971</v>
      </c>
      <c r="B187" s="507"/>
      <c r="C187" s="507" t="s">
        <v>820</v>
      </c>
      <c r="D187" s="508">
        <v>52374</v>
      </c>
      <c r="E187" s="507">
        <v>5.6000000000000001E-2</v>
      </c>
      <c r="F187" s="494">
        <f t="shared" si="6"/>
        <v>2932.9</v>
      </c>
      <c r="G187" s="509"/>
    </row>
    <row r="188" spans="1:7" ht="12.95" customHeight="1">
      <c r="A188" s="506" t="s">
        <v>1202</v>
      </c>
      <c r="B188" s="507" t="s">
        <v>1283</v>
      </c>
      <c r="C188" s="507" t="s">
        <v>1284</v>
      </c>
      <c r="D188" s="508">
        <v>16925</v>
      </c>
      <c r="E188" s="507">
        <v>7.1999999999999995E-2</v>
      </c>
      <c r="F188" s="494">
        <f t="shared" si="6"/>
        <v>1218.5999999999999</v>
      </c>
      <c r="G188" s="509"/>
    </row>
    <row r="189" spans="1:7" ht="12.95" customHeight="1">
      <c r="A189" s="506" t="s">
        <v>1285</v>
      </c>
      <c r="B189" s="507" t="s">
        <v>1286</v>
      </c>
      <c r="C189" s="507" t="s">
        <v>1284</v>
      </c>
      <c r="D189" s="508">
        <v>12438</v>
      </c>
      <c r="E189" s="507">
        <v>7.1999999999999995E-2</v>
      </c>
      <c r="F189" s="494">
        <f t="shared" si="6"/>
        <v>895.5</v>
      </c>
      <c r="G189" s="509"/>
    </row>
    <row r="190" spans="1:7" ht="12.95" customHeight="1">
      <c r="A190" s="506" t="s">
        <v>1287</v>
      </c>
      <c r="B190" s="507" t="s">
        <v>1288</v>
      </c>
      <c r="C190" s="507"/>
      <c r="D190" s="508">
        <v>12886</v>
      </c>
      <c r="E190" s="507">
        <v>7.1999999999999995E-2</v>
      </c>
      <c r="F190" s="494">
        <f t="shared" si="6"/>
        <v>927.8</v>
      </c>
      <c r="G190" s="509"/>
    </row>
    <row r="191" spans="1:7" ht="12.95" customHeight="1">
      <c r="A191" s="506" t="s">
        <v>772</v>
      </c>
      <c r="B191" s="507" t="s">
        <v>1289</v>
      </c>
      <c r="C191" s="507"/>
      <c r="D191" s="508">
        <v>12886</v>
      </c>
      <c r="E191" s="507">
        <v>7.1999999999999995E-2</v>
      </c>
      <c r="F191" s="494">
        <f t="shared" si="6"/>
        <v>927.8</v>
      </c>
      <c r="G191" s="509"/>
    </row>
    <row r="192" spans="1:7" ht="12.95" customHeight="1">
      <c r="A192" s="506" t="s">
        <v>817</v>
      </c>
      <c r="B192" s="507" t="s">
        <v>1290</v>
      </c>
      <c r="C192" s="507"/>
      <c r="D192" s="508">
        <v>12886</v>
      </c>
      <c r="E192" s="507">
        <v>7.1999999999999995E-2</v>
      </c>
      <c r="F192" s="494">
        <f t="shared" si="6"/>
        <v>927.8</v>
      </c>
      <c r="G192" s="509"/>
    </row>
    <row r="193" spans="1:7" ht="12.95" customHeight="1">
      <c r="A193" s="506" t="s">
        <v>1276</v>
      </c>
      <c r="B193" s="507"/>
      <c r="C193" s="507"/>
      <c r="D193" s="507"/>
      <c r="E193" s="507"/>
      <c r="F193" s="508">
        <v>11987</v>
      </c>
      <c r="G193" s="509"/>
    </row>
    <row r="194" spans="1:7" ht="12.95" customHeight="1">
      <c r="A194" s="1974" t="s">
        <v>1316</v>
      </c>
      <c r="B194" s="1975"/>
      <c r="C194" s="1975"/>
      <c r="D194" s="1975"/>
      <c r="E194" s="1975"/>
      <c r="F194" s="1975"/>
      <c r="G194" s="1976"/>
    </row>
    <row r="195" spans="1:7" ht="12.95" customHeight="1">
      <c r="A195" s="506" t="s">
        <v>768</v>
      </c>
      <c r="B195" s="507">
        <v>25</v>
      </c>
      <c r="C195" s="507" t="s">
        <v>1284</v>
      </c>
      <c r="D195" s="508">
        <v>21618</v>
      </c>
      <c r="E195" s="507">
        <v>6.4000000000000001E-2</v>
      </c>
      <c r="F195" s="494">
        <f t="shared" ref="F195:F200" si="7">ROUND(D195*E195,1)</f>
        <v>1383.6</v>
      </c>
      <c r="G195" s="509"/>
    </row>
    <row r="196" spans="1:7" ht="12.95" customHeight="1">
      <c r="A196" s="506" t="s">
        <v>1202</v>
      </c>
      <c r="B196" s="507" t="s">
        <v>1283</v>
      </c>
      <c r="C196" s="507" t="s">
        <v>1284</v>
      </c>
      <c r="D196" s="508">
        <v>7905</v>
      </c>
      <c r="E196" s="507">
        <v>7.1999999999999995E-2</v>
      </c>
      <c r="F196" s="494">
        <f t="shared" si="7"/>
        <v>569.20000000000005</v>
      </c>
      <c r="G196" s="509"/>
    </row>
    <row r="197" spans="1:7" ht="12.95" customHeight="1">
      <c r="A197" s="506" t="s">
        <v>1285</v>
      </c>
      <c r="B197" s="507" t="s">
        <v>1286</v>
      </c>
      <c r="C197" s="507" t="s">
        <v>1284</v>
      </c>
      <c r="D197" s="508">
        <v>4678</v>
      </c>
      <c r="E197" s="507">
        <v>7.1999999999999995E-2</v>
      </c>
      <c r="F197" s="494">
        <f t="shared" si="7"/>
        <v>336.8</v>
      </c>
      <c r="G197" s="509"/>
    </row>
    <row r="198" spans="1:7" ht="12.95" customHeight="1">
      <c r="A198" s="506" t="s">
        <v>1291</v>
      </c>
      <c r="B198" s="507" t="s">
        <v>1288</v>
      </c>
      <c r="C198" s="507" t="s">
        <v>1284</v>
      </c>
      <c r="D198" s="508">
        <v>11537</v>
      </c>
      <c r="E198" s="507">
        <v>7.1999999999999995E-2</v>
      </c>
      <c r="F198" s="494">
        <f t="shared" si="7"/>
        <v>830.7</v>
      </c>
      <c r="G198" s="509"/>
    </row>
    <row r="199" spans="1:7" ht="12.95" customHeight="1">
      <c r="A199" s="506" t="s">
        <v>772</v>
      </c>
      <c r="B199" s="507" t="s">
        <v>1289</v>
      </c>
      <c r="C199" s="507" t="s">
        <v>1284</v>
      </c>
      <c r="D199" s="508">
        <v>9690</v>
      </c>
      <c r="E199" s="507">
        <v>7.1999999999999995E-2</v>
      </c>
      <c r="F199" s="494">
        <f t="shared" si="7"/>
        <v>697.7</v>
      </c>
      <c r="G199" s="509"/>
    </row>
    <row r="200" spans="1:7" ht="12.95" customHeight="1">
      <c r="A200" s="506" t="s">
        <v>817</v>
      </c>
      <c r="B200" s="507" t="s">
        <v>1292</v>
      </c>
      <c r="C200" s="507" t="s">
        <v>1284</v>
      </c>
      <c r="D200" s="508">
        <v>6008</v>
      </c>
      <c r="E200" s="507">
        <v>7.1999999999999995E-2</v>
      </c>
      <c r="F200" s="494">
        <f t="shared" si="7"/>
        <v>432.6</v>
      </c>
      <c r="G200" s="509"/>
    </row>
    <row r="201" spans="1:7" ht="12.95" customHeight="1">
      <c r="A201" s="506" t="s">
        <v>1276</v>
      </c>
      <c r="B201" s="507"/>
      <c r="C201" s="507"/>
      <c r="D201" s="507"/>
      <c r="E201" s="507"/>
      <c r="F201" s="508">
        <v>4250</v>
      </c>
      <c r="G201" s="509"/>
    </row>
    <row r="202" spans="1:7" ht="12.95" customHeight="1">
      <c r="A202" s="510"/>
      <c r="B202" s="511"/>
      <c r="C202" s="511"/>
      <c r="D202" s="511"/>
      <c r="E202" s="511"/>
      <c r="F202" s="512"/>
      <c r="G202" s="513"/>
    </row>
    <row r="203" spans="1:7" ht="12.95" customHeight="1">
      <c r="A203" s="514" t="s">
        <v>1293</v>
      </c>
      <c r="B203" s="515"/>
      <c r="C203" s="515"/>
      <c r="D203" s="515"/>
      <c r="E203" s="515"/>
      <c r="F203" s="501">
        <f>F201+F193+F182+F175+F168+F159+F156</f>
        <v>48054</v>
      </c>
      <c r="G203" s="516"/>
    </row>
  </sheetData>
  <mergeCells count="27">
    <mergeCell ref="A104:G104"/>
    <mergeCell ref="A100:G100"/>
    <mergeCell ref="A83:G83"/>
    <mergeCell ref="A71:G71"/>
    <mergeCell ref="A63:G63"/>
    <mergeCell ref="A141:G141"/>
    <mergeCell ref="A153:G153"/>
    <mergeCell ref="A151:G151"/>
    <mergeCell ref="A58:G58"/>
    <mergeCell ref="A98:G98"/>
    <mergeCell ref="A123:G123"/>
    <mergeCell ref="A130:G130"/>
    <mergeCell ref="A107:G107"/>
    <mergeCell ref="A116:G116"/>
    <mergeCell ref="A194:G194"/>
    <mergeCell ref="A157:G157"/>
    <mergeCell ref="A160:G160"/>
    <mergeCell ref="A169:G169"/>
    <mergeCell ref="A176:G176"/>
    <mergeCell ref="A183:G183"/>
    <mergeCell ref="A54:G54"/>
    <mergeCell ref="A49:G49"/>
    <mergeCell ref="A47:G47"/>
    <mergeCell ref="C19:D19"/>
    <mergeCell ref="C20:D20"/>
    <mergeCell ref="C21:D21"/>
    <mergeCell ref="C22:D2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4294967294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>
  <dimension ref="A1:X138"/>
  <sheetViews>
    <sheetView view="pageBreakPreview" topLeftCell="A57" workbookViewId="0">
      <selection activeCell="P6" sqref="P6"/>
    </sheetView>
  </sheetViews>
  <sheetFormatPr defaultColWidth="8" defaultRowHeight="26.85" customHeight="1"/>
  <cols>
    <col min="1" max="1" width="13" style="444" customWidth="1"/>
    <col min="2" max="2" width="12.109375" style="443" customWidth="1"/>
    <col min="3" max="3" width="8" style="445" bestFit="1" customWidth="1"/>
    <col min="4" max="4" width="4.109375" style="446" customWidth="1"/>
    <col min="5" max="6" width="9.77734375" style="447" bestFit="1" customWidth="1"/>
    <col min="7" max="7" width="9.33203125" style="447" bestFit="1" customWidth="1"/>
    <col min="8" max="8" width="9.77734375" style="447" bestFit="1" customWidth="1"/>
    <col min="9" max="10" width="8.88671875" style="447" bestFit="1" customWidth="1"/>
    <col min="11" max="11" width="12.109375" style="447" customWidth="1"/>
    <col min="12" max="16384" width="8" style="443"/>
  </cols>
  <sheetData>
    <row r="1" spans="4:4" customFormat="1" ht="13.5">
      <c r="D1" s="338"/>
    </row>
    <row r="2" spans="4:4" customFormat="1" ht="13.5">
      <c r="D2" s="338"/>
    </row>
    <row r="3" spans="4:4" customFormat="1" ht="13.5">
      <c r="D3" s="338"/>
    </row>
    <row r="4" spans="4:4" customFormat="1" ht="13.5">
      <c r="D4" s="338"/>
    </row>
    <row r="5" spans="4:4" customFormat="1" ht="13.5">
      <c r="D5" s="338"/>
    </row>
    <row r="6" spans="4:4" customFormat="1" ht="13.5">
      <c r="D6" s="338"/>
    </row>
    <row r="7" spans="4:4" customFormat="1" ht="13.5">
      <c r="D7" s="338"/>
    </row>
    <row r="8" spans="4:4" customFormat="1" ht="13.5">
      <c r="D8" s="338"/>
    </row>
    <row r="9" spans="4:4" customFormat="1" ht="13.5">
      <c r="D9" s="338"/>
    </row>
    <row r="10" spans="4:4" customFormat="1" ht="13.5">
      <c r="D10" s="338"/>
    </row>
    <row r="11" spans="4:4" customFormat="1" ht="13.5">
      <c r="D11" s="338"/>
    </row>
    <row r="12" spans="4:4" customFormat="1" ht="13.5">
      <c r="D12" s="338"/>
    </row>
    <row r="13" spans="4:4" customFormat="1" ht="13.5">
      <c r="D13" s="338"/>
    </row>
    <row r="14" spans="4:4" customFormat="1" ht="13.5">
      <c r="D14" s="338"/>
    </row>
    <row r="15" spans="4:4" customFormat="1" ht="13.5">
      <c r="D15" s="338"/>
    </row>
    <row r="16" spans="4:4" customFormat="1" ht="13.5">
      <c r="D16" s="338"/>
    </row>
    <row r="17" spans="3:8" customFormat="1" ht="13.5">
      <c r="D17" s="338"/>
    </row>
    <row r="18" spans="3:8" customFormat="1" ht="13.5">
      <c r="D18" s="338"/>
    </row>
    <row r="19" spans="3:8" customFormat="1" ht="13.5">
      <c r="D19" s="338"/>
    </row>
    <row r="20" spans="3:8" customFormat="1" ht="13.5">
      <c r="D20" s="338"/>
    </row>
    <row r="21" spans="3:8" s="339" customFormat="1" ht="30" customHeight="1">
      <c r="C21" s="1554"/>
      <c r="D21" s="1554"/>
      <c r="E21" s="1554"/>
      <c r="F21" s="1554"/>
      <c r="G21" s="1554"/>
      <c r="H21" s="1554"/>
    </row>
    <row r="22" spans="3:8" s="339" customFormat="1" ht="30" customHeight="1">
      <c r="D22" s="387"/>
    </row>
    <row r="23" spans="3:8" s="339" customFormat="1" ht="30" customHeight="1">
      <c r="C23" s="373" t="s">
        <v>1326</v>
      </c>
      <c r="D23" s="1830" t="s">
        <v>1327</v>
      </c>
      <c r="E23" s="1822"/>
      <c r="F23" s="311" t="s">
        <v>1328</v>
      </c>
      <c r="G23" s="374" t="s">
        <v>1329</v>
      </c>
      <c r="H23" s="436"/>
    </row>
    <row r="24" spans="3:8" s="339" customFormat="1" ht="30" customHeight="1">
      <c r="C24" s="370">
        <v>1</v>
      </c>
      <c r="D24" s="1844" t="s">
        <v>1336</v>
      </c>
      <c r="E24" s="1825"/>
      <c r="F24" s="371">
        <f>K83</f>
        <v>5215</v>
      </c>
      <c r="G24" s="440"/>
      <c r="H24" s="437"/>
    </row>
    <row r="25" spans="3:8" s="339" customFormat="1" ht="30" customHeight="1">
      <c r="C25" s="370">
        <v>2</v>
      </c>
      <c r="D25" s="1844" t="s">
        <v>1337</v>
      </c>
      <c r="E25" s="1825"/>
      <c r="F25" s="371">
        <f>K100</f>
        <v>12164</v>
      </c>
      <c r="G25" s="440"/>
      <c r="H25" s="437"/>
    </row>
    <row r="26" spans="3:8" s="339" customFormat="1" ht="30" customHeight="1">
      <c r="C26" s="370">
        <v>3</v>
      </c>
      <c r="D26" s="1844" t="s">
        <v>1338</v>
      </c>
      <c r="E26" s="1825"/>
      <c r="F26" s="371">
        <f>K119</f>
        <v>23616</v>
      </c>
      <c r="G26" s="440"/>
      <c r="H26" s="437"/>
    </row>
    <row r="27" spans="3:8" s="339" customFormat="1" ht="30" customHeight="1">
      <c r="C27" s="370"/>
      <c r="D27" s="1844"/>
      <c r="E27" s="1825"/>
      <c r="F27" s="371"/>
      <c r="G27" s="440"/>
      <c r="H27" s="437"/>
    </row>
    <row r="28" spans="3:8" s="339" customFormat="1" ht="30" customHeight="1">
      <c r="C28" s="315"/>
      <c r="D28" s="1876"/>
      <c r="E28" s="1828"/>
      <c r="F28" s="372"/>
      <c r="G28" s="441"/>
      <c r="H28" s="437"/>
    </row>
    <row r="29" spans="3:8" customFormat="1" ht="13.5">
      <c r="D29" s="338"/>
    </row>
    <row r="30" spans="3:8" customFormat="1" ht="13.5">
      <c r="D30" s="338"/>
    </row>
    <row r="31" spans="3:8" customFormat="1" ht="13.5">
      <c r="D31" s="338"/>
    </row>
    <row r="32" spans="3:8" customFormat="1" ht="13.5">
      <c r="D32" s="338"/>
    </row>
    <row r="33" spans="4:4" customFormat="1" ht="13.5">
      <c r="D33" s="338"/>
    </row>
    <row r="34" spans="4:4" customFormat="1" ht="13.5">
      <c r="D34" s="338"/>
    </row>
    <row r="35" spans="4:4" customFormat="1" ht="13.5">
      <c r="D35" s="338"/>
    </row>
    <row r="36" spans="4:4" customFormat="1" ht="13.5">
      <c r="D36" s="338"/>
    </row>
    <row r="37" spans="4:4" customFormat="1" ht="13.5">
      <c r="D37" s="338"/>
    </row>
    <row r="38" spans="4:4" customFormat="1" ht="13.5">
      <c r="D38" s="338"/>
    </row>
    <row r="39" spans="4:4" customFormat="1" ht="13.5">
      <c r="D39" s="338"/>
    </row>
    <row r="40" spans="4:4" customFormat="1" ht="13.5">
      <c r="D40" s="338"/>
    </row>
    <row r="41" spans="4:4" customFormat="1" ht="13.5">
      <c r="D41" s="338"/>
    </row>
    <row r="42" spans="4:4" customFormat="1" ht="13.5">
      <c r="D42" s="338"/>
    </row>
    <row r="43" spans="4:4" customFormat="1" ht="13.5">
      <c r="D43" s="338"/>
    </row>
    <row r="44" spans="4:4" customFormat="1" ht="13.5">
      <c r="D44" s="338"/>
    </row>
    <row r="45" spans="4:4" customFormat="1" ht="13.5">
      <c r="D45" s="338"/>
    </row>
    <row r="46" spans="4:4" customFormat="1" ht="13.5">
      <c r="D46" s="338"/>
    </row>
    <row r="47" spans="4:4" customFormat="1" ht="13.5">
      <c r="D47" s="338"/>
    </row>
    <row r="48" spans="4:4" customFormat="1" ht="13.5">
      <c r="D48" s="338"/>
    </row>
    <row r="49" spans="4:4" customFormat="1" ht="13.5">
      <c r="D49" s="338"/>
    </row>
    <row r="50" spans="4:4" customFormat="1" ht="13.5">
      <c r="D50" s="338"/>
    </row>
    <row r="51" spans="4:4" customFormat="1" ht="13.5">
      <c r="D51" s="338"/>
    </row>
    <row r="52" spans="4:4" customFormat="1" ht="13.5">
      <c r="D52" s="338"/>
    </row>
    <row r="53" spans="4:4" customFormat="1" ht="13.5">
      <c r="D53" s="338"/>
    </row>
    <row r="54" spans="4:4" customFormat="1" ht="13.5">
      <c r="D54" s="338"/>
    </row>
    <row r="55" spans="4:4" customFormat="1" ht="13.5">
      <c r="D55" s="338"/>
    </row>
    <row r="56" spans="4:4" customFormat="1" ht="13.5">
      <c r="D56" s="338"/>
    </row>
    <row r="57" spans="4:4" customFormat="1" ht="13.5">
      <c r="D57" s="338"/>
    </row>
    <row r="58" spans="4:4" customFormat="1" ht="13.5">
      <c r="D58" s="338"/>
    </row>
    <row r="59" spans="4:4" customFormat="1" ht="13.5">
      <c r="D59" s="338"/>
    </row>
    <row r="60" spans="4:4" customFormat="1" ht="13.5">
      <c r="D60" s="338"/>
    </row>
    <row r="61" spans="4:4" customFormat="1" ht="13.5">
      <c r="D61" s="338"/>
    </row>
    <row r="62" spans="4:4" customFormat="1" ht="13.5">
      <c r="D62" s="338"/>
    </row>
    <row r="63" spans="4:4" customFormat="1" ht="13.5">
      <c r="D63" s="338"/>
    </row>
    <row r="64" spans="4:4" customFormat="1" ht="13.5">
      <c r="D64" s="338"/>
    </row>
    <row r="65" spans="1:24" s="449" customFormat="1" ht="26.85" customHeight="1">
      <c r="A65" s="1868" t="s">
        <v>1218</v>
      </c>
      <c r="B65" s="1866" t="s">
        <v>763</v>
      </c>
      <c r="C65" s="1864" t="s">
        <v>1330</v>
      </c>
      <c r="D65" s="1866" t="s">
        <v>983</v>
      </c>
      <c r="E65" s="1872" t="s">
        <v>764</v>
      </c>
      <c r="F65" s="1873"/>
      <c r="G65" s="1872" t="s">
        <v>765</v>
      </c>
      <c r="H65" s="1873"/>
      <c r="I65" s="1872" t="s">
        <v>1331</v>
      </c>
      <c r="J65" s="1873"/>
      <c r="K65" s="450" t="s">
        <v>1332</v>
      </c>
      <c r="L65" s="448"/>
      <c r="M65" s="448"/>
      <c r="N65" s="448"/>
      <c r="O65" s="448"/>
      <c r="P65" s="448"/>
      <c r="Q65" s="448"/>
      <c r="R65" s="448"/>
      <c r="S65" s="448"/>
      <c r="T65" s="448"/>
      <c r="U65" s="448"/>
      <c r="V65" s="448"/>
      <c r="W65" s="448"/>
      <c r="X65" s="448"/>
    </row>
    <row r="66" spans="1:24" s="449" customFormat="1" ht="26.85" customHeight="1">
      <c r="A66" s="1869"/>
      <c r="B66" s="1867"/>
      <c r="C66" s="1865"/>
      <c r="D66" s="1867"/>
      <c r="E66" s="451" t="s">
        <v>1333</v>
      </c>
      <c r="F66" s="451" t="s">
        <v>1334</v>
      </c>
      <c r="G66" s="451" t="s">
        <v>1333</v>
      </c>
      <c r="H66" s="451" t="s">
        <v>1334</v>
      </c>
      <c r="I66" s="451" t="s">
        <v>1333</v>
      </c>
      <c r="J66" s="451" t="s">
        <v>1334</v>
      </c>
      <c r="K66" s="452" t="s">
        <v>1334</v>
      </c>
      <c r="L66" s="448"/>
      <c r="M66" s="448"/>
      <c r="N66" s="448"/>
      <c r="O66" s="448"/>
      <c r="P66" s="448"/>
      <c r="Q66" s="448"/>
      <c r="R66" s="448"/>
      <c r="S66" s="448"/>
      <c r="T66" s="448"/>
      <c r="U66" s="448"/>
      <c r="V66" s="448"/>
      <c r="W66" s="448"/>
      <c r="X66" s="448"/>
    </row>
    <row r="67" spans="1:24" ht="26.85" customHeight="1">
      <c r="A67" s="1977" t="s">
        <v>1356</v>
      </c>
      <c r="B67" s="1978"/>
      <c r="C67" s="1978"/>
      <c r="D67" s="1978"/>
      <c r="E67" s="1978"/>
      <c r="F67" s="1979"/>
      <c r="G67" s="453"/>
      <c r="H67" s="453"/>
      <c r="I67" s="453"/>
      <c r="J67" s="453"/>
      <c r="K67" s="454"/>
      <c r="L67" s="442"/>
      <c r="M67" s="442"/>
      <c r="N67" s="442"/>
      <c r="O67" s="442"/>
      <c r="P67" s="442"/>
      <c r="Q67" s="442"/>
      <c r="R67" s="442"/>
      <c r="S67" s="442"/>
      <c r="T67" s="442"/>
      <c r="U67" s="442"/>
      <c r="V67" s="442"/>
      <c r="W67" s="442"/>
      <c r="X67" s="442"/>
    </row>
    <row r="68" spans="1:24" ht="26.85" customHeight="1">
      <c r="A68" s="455" t="s">
        <v>1339</v>
      </c>
      <c r="B68" s="456" t="s">
        <v>1340</v>
      </c>
      <c r="C68" s="461">
        <v>0.03</v>
      </c>
      <c r="D68" s="456" t="s">
        <v>1341</v>
      </c>
      <c r="E68" s="458">
        <v>40000</v>
      </c>
      <c r="F68" s="458">
        <f t="shared" ref="F68:F80" si="0">INT(E68*C68)</f>
        <v>1200</v>
      </c>
      <c r="G68" s="453"/>
      <c r="H68" s="453">
        <f t="shared" ref="H68:H80" si="1">INT(G68*C68)</f>
        <v>0</v>
      </c>
      <c r="I68" s="453"/>
      <c r="J68" s="453">
        <f t="shared" ref="J68:J80" si="2">INT(I68*C68)</f>
        <v>0</v>
      </c>
      <c r="K68" s="459">
        <f t="shared" ref="K68:K80" si="3">+J68+H68+F68</f>
        <v>1200</v>
      </c>
      <c r="L68" s="442"/>
      <c r="M68" s="442"/>
      <c r="N68" s="442"/>
      <c r="O68" s="442"/>
      <c r="P68" s="442"/>
      <c r="Q68" s="442"/>
      <c r="R68" s="442"/>
      <c r="S68" s="442"/>
      <c r="T68" s="442"/>
      <c r="U68" s="442"/>
      <c r="V68" s="442"/>
      <c r="W68" s="442"/>
      <c r="X68" s="442"/>
    </row>
    <row r="69" spans="1:24" ht="26.85" customHeight="1">
      <c r="A69" s="455" t="s">
        <v>1342</v>
      </c>
      <c r="B69" s="456"/>
      <c r="C69" s="461">
        <v>3.5000000000000003E-2</v>
      </c>
      <c r="D69" s="456" t="s">
        <v>1341</v>
      </c>
      <c r="E69" s="458">
        <v>27121</v>
      </c>
      <c r="F69" s="458">
        <f t="shared" si="0"/>
        <v>949</v>
      </c>
      <c r="G69" s="453"/>
      <c r="H69" s="453">
        <f t="shared" si="1"/>
        <v>0</v>
      </c>
      <c r="I69" s="453"/>
      <c r="J69" s="453">
        <f t="shared" si="2"/>
        <v>0</v>
      </c>
      <c r="K69" s="459">
        <f t="shared" si="3"/>
        <v>949</v>
      </c>
      <c r="L69" s="442"/>
      <c r="M69" s="442"/>
      <c r="N69" s="442"/>
      <c r="O69" s="442"/>
      <c r="P69" s="442"/>
      <c r="Q69" s="442"/>
      <c r="R69" s="442"/>
      <c r="S69" s="442"/>
      <c r="T69" s="442"/>
      <c r="U69" s="442"/>
      <c r="V69" s="442"/>
      <c r="W69" s="442"/>
      <c r="X69" s="442"/>
    </row>
    <row r="70" spans="1:24" ht="26.85" customHeight="1">
      <c r="A70" s="455" t="s">
        <v>1343</v>
      </c>
      <c r="B70" s="460" t="s">
        <v>1344</v>
      </c>
      <c r="C70" s="457">
        <v>2.5</v>
      </c>
      <c r="D70" s="456" t="s">
        <v>767</v>
      </c>
      <c r="E70" s="458">
        <v>740</v>
      </c>
      <c r="F70" s="458">
        <f t="shared" si="0"/>
        <v>1850</v>
      </c>
      <c r="G70" s="453"/>
      <c r="H70" s="453">
        <f t="shared" si="1"/>
        <v>0</v>
      </c>
      <c r="I70" s="453"/>
      <c r="J70" s="453">
        <f t="shared" si="2"/>
        <v>0</v>
      </c>
      <c r="K70" s="459">
        <f t="shared" si="3"/>
        <v>1850</v>
      </c>
      <c r="L70" s="442"/>
      <c r="M70" s="442"/>
      <c r="N70" s="442"/>
      <c r="O70" s="442"/>
      <c r="P70" s="442"/>
      <c r="Q70" s="442"/>
      <c r="R70" s="442"/>
      <c r="S70" s="442"/>
      <c r="T70" s="442"/>
      <c r="U70" s="442"/>
      <c r="V70" s="442"/>
      <c r="W70" s="442"/>
      <c r="X70" s="442"/>
    </row>
    <row r="71" spans="1:24" ht="26.85" customHeight="1">
      <c r="A71" s="455" t="s">
        <v>1345</v>
      </c>
      <c r="B71" s="460" t="s">
        <v>1346</v>
      </c>
      <c r="C71" s="457">
        <v>1.2</v>
      </c>
      <c r="D71" s="456" t="s">
        <v>1347</v>
      </c>
      <c r="E71" s="458"/>
      <c r="F71" s="458">
        <f t="shared" si="0"/>
        <v>0</v>
      </c>
      <c r="G71" s="453"/>
      <c r="H71" s="453">
        <f t="shared" si="1"/>
        <v>0</v>
      </c>
      <c r="I71" s="453"/>
      <c r="J71" s="453">
        <f t="shared" si="2"/>
        <v>0</v>
      </c>
      <c r="K71" s="459">
        <f t="shared" si="3"/>
        <v>0</v>
      </c>
      <c r="L71" s="442"/>
      <c r="M71" s="442"/>
      <c r="N71" s="442"/>
      <c r="O71" s="442"/>
      <c r="P71" s="442"/>
      <c r="Q71" s="442"/>
      <c r="R71" s="442"/>
      <c r="S71" s="442"/>
      <c r="T71" s="442"/>
      <c r="U71" s="442"/>
      <c r="V71" s="442"/>
      <c r="W71" s="442"/>
      <c r="X71" s="442"/>
    </row>
    <row r="72" spans="1:24" ht="26.85" customHeight="1">
      <c r="A72" s="455" t="s">
        <v>1348</v>
      </c>
      <c r="B72" s="460" t="s">
        <v>1349</v>
      </c>
      <c r="C72" s="457">
        <v>1</v>
      </c>
      <c r="D72" s="456" t="s">
        <v>1350</v>
      </c>
      <c r="E72" s="458"/>
      <c r="F72" s="458">
        <f>INT(E72*C72)</f>
        <v>0</v>
      </c>
      <c r="G72" s="453"/>
      <c r="H72" s="453">
        <f>INT(G72*C72)</f>
        <v>0</v>
      </c>
      <c r="I72" s="453"/>
      <c r="J72" s="453">
        <f>INT(I72*C72)</f>
        <v>0</v>
      </c>
      <c r="K72" s="459">
        <f>+J72+H72+F72</f>
        <v>0</v>
      </c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</row>
    <row r="73" spans="1:24" ht="26.85" customHeight="1">
      <c r="A73" s="455" t="s">
        <v>970</v>
      </c>
      <c r="B73" s="456"/>
      <c r="C73" s="461">
        <v>2E-3</v>
      </c>
      <c r="D73" s="456" t="s">
        <v>820</v>
      </c>
      <c r="E73" s="453"/>
      <c r="F73" s="453">
        <f t="shared" si="0"/>
        <v>0</v>
      </c>
      <c r="G73" s="453">
        <f ca="1">'11.0시중노임'!F4</f>
        <v>92218</v>
      </c>
      <c r="H73" s="458">
        <f t="shared" si="1"/>
        <v>184</v>
      </c>
      <c r="I73" s="453"/>
      <c r="J73" s="453">
        <f t="shared" si="2"/>
        <v>0</v>
      </c>
      <c r="K73" s="459">
        <f t="shared" si="3"/>
        <v>184</v>
      </c>
      <c r="L73" s="442"/>
      <c r="M73" s="442"/>
      <c r="N73" s="442"/>
      <c r="O73" s="442"/>
      <c r="P73" s="442"/>
      <c r="Q73" s="442"/>
      <c r="R73" s="442"/>
      <c r="S73" s="442"/>
      <c r="T73" s="442"/>
      <c r="U73" s="442"/>
      <c r="V73" s="442"/>
      <c r="W73" s="442"/>
      <c r="X73" s="442"/>
    </row>
    <row r="74" spans="1:24" ht="26.85" customHeight="1">
      <c r="A74" s="455" t="s">
        <v>967</v>
      </c>
      <c r="B74" s="456"/>
      <c r="C74" s="461">
        <v>3.0000000000000001E-3</v>
      </c>
      <c r="D74" s="456" t="s">
        <v>820</v>
      </c>
      <c r="E74" s="453"/>
      <c r="F74" s="453">
        <f t="shared" si="0"/>
        <v>0</v>
      </c>
      <c r="G74" s="453">
        <f ca="1">'11.0시중노임'!F5</f>
        <v>84404</v>
      </c>
      <c r="H74" s="458">
        <f t="shared" si="1"/>
        <v>253</v>
      </c>
      <c r="I74" s="453"/>
      <c r="J74" s="453">
        <f t="shared" si="2"/>
        <v>0</v>
      </c>
      <c r="K74" s="459">
        <f t="shared" si="3"/>
        <v>253</v>
      </c>
      <c r="L74" s="442"/>
      <c r="M74" s="442"/>
      <c r="N74" s="442"/>
      <c r="O74" s="442"/>
      <c r="P74" s="442"/>
      <c r="Q74" s="442"/>
      <c r="R74" s="442"/>
      <c r="S74" s="442"/>
      <c r="T74" s="442"/>
      <c r="U74" s="442"/>
      <c r="V74" s="442"/>
      <c r="W74" s="442"/>
      <c r="X74" s="442"/>
    </row>
    <row r="75" spans="1:24" ht="26.85" customHeight="1">
      <c r="A75" s="455" t="s">
        <v>1351</v>
      </c>
      <c r="B75" s="456"/>
      <c r="C75" s="461">
        <v>1E-3</v>
      </c>
      <c r="D75" s="456" t="s">
        <v>820</v>
      </c>
      <c r="E75" s="453"/>
      <c r="F75" s="453">
        <f t="shared" si="0"/>
        <v>0</v>
      </c>
      <c r="G75" s="458">
        <f ca="1">'11.0시중노임'!F14</f>
        <v>118515</v>
      </c>
      <c r="H75" s="458">
        <f t="shared" si="1"/>
        <v>118</v>
      </c>
      <c r="I75" s="453"/>
      <c r="J75" s="453">
        <f t="shared" si="2"/>
        <v>0</v>
      </c>
      <c r="K75" s="459">
        <f t="shared" si="3"/>
        <v>118</v>
      </c>
      <c r="L75" s="442"/>
      <c r="M75" s="442"/>
      <c r="N75" s="442"/>
      <c r="O75" s="442"/>
      <c r="P75" s="442"/>
      <c r="Q75" s="442"/>
      <c r="R75" s="442"/>
      <c r="S75" s="442"/>
      <c r="T75" s="442"/>
      <c r="U75" s="442"/>
      <c r="V75" s="442"/>
      <c r="W75" s="442"/>
      <c r="X75" s="442"/>
    </row>
    <row r="76" spans="1:24" ht="26.85" customHeight="1">
      <c r="A76" s="455" t="s">
        <v>971</v>
      </c>
      <c r="B76" s="456"/>
      <c r="C76" s="461">
        <v>3.0000000000000001E-3</v>
      </c>
      <c r="D76" s="456" t="s">
        <v>820</v>
      </c>
      <c r="E76" s="453"/>
      <c r="F76" s="453">
        <f>INT(E76*C76)</f>
        <v>0</v>
      </c>
      <c r="G76" s="458">
        <f ca="1">'11.0시중노임'!F6</f>
        <v>68965</v>
      </c>
      <c r="H76" s="458">
        <f>INT(G76*C76)</f>
        <v>206</v>
      </c>
      <c r="I76" s="453"/>
      <c r="J76" s="453">
        <f>INT(I76*C76)</f>
        <v>0</v>
      </c>
      <c r="K76" s="459">
        <f>+J76+H76+F76</f>
        <v>206</v>
      </c>
      <c r="L76" s="442"/>
      <c r="M76" s="442"/>
      <c r="N76" s="442"/>
      <c r="O76" s="442"/>
      <c r="P76" s="442"/>
      <c r="Q76" s="442"/>
      <c r="R76" s="442"/>
      <c r="S76" s="442"/>
      <c r="T76" s="442"/>
      <c r="U76" s="442"/>
      <c r="V76" s="442"/>
      <c r="W76" s="442"/>
      <c r="X76" s="442"/>
    </row>
    <row r="77" spans="1:24" ht="26.85" customHeight="1">
      <c r="A77" s="455" t="s">
        <v>772</v>
      </c>
      <c r="B77" s="456" t="s">
        <v>773</v>
      </c>
      <c r="C77" s="461">
        <v>3.0000000000000001E-3</v>
      </c>
      <c r="D77" s="456" t="s">
        <v>1179</v>
      </c>
      <c r="E77" s="458">
        <f ca="1">'9.0중기목록'!F14</f>
        <v>13117</v>
      </c>
      <c r="F77" s="458">
        <f ca="1">INT(E77*C77)</f>
        <v>39</v>
      </c>
      <c r="G77" s="458">
        <f ca="1">'9.0중기목록'!E14</f>
        <v>17696</v>
      </c>
      <c r="H77" s="458">
        <f ca="1">INT(G77*C77)</f>
        <v>53</v>
      </c>
      <c r="I77" s="458">
        <f ca="1">'9.0중기목록'!G14</f>
        <v>7823</v>
      </c>
      <c r="J77" s="458">
        <f>INT(I77*C77)</f>
        <v>23</v>
      </c>
      <c r="K77" s="459">
        <f>+J77+H77+F77</f>
        <v>115</v>
      </c>
      <c r="L77" s="442"/>
      <c r="M77" s="442"/>
      <c r="N77" s="442"/>
      <c r="O77" s="442"/>
      <c r="P77" s="442"/>
      <c r="Q77" s="442"/>
      <c r="R77" s="442"/>
      <c r="S77" s="442"/>
      <c r="T77" s="442"/>
      <c r="U77" s="442"/>
      <c r="V77" s="442"/>
      <c r="W77" s="442"/>
      <c r="X77" s="442"/>
    </row>
    <row r="78" spans="1:24" ht="26.85" customHeight="1">
      <c r="A78" s="455" t="s">
        <v>1335</v>
      </c>
      <c r="B78" s="456" t="s">
        <v>1352</v>
      </c>
      <c r="C78" s="461">
        <v>3.0000000000000001E-3</v>
      </c>
      <c r="D78" s="456" t="s">
        <v>1179</v>
      </c>
      <c r="E78" s="458">
        <f ca="1">'9.0중기목록'!F38</f>
        <v>19373</v>
      </c>
      <c r="F78" s="458">
        <f ca="1">INT(E78*C78)</f>
        <v>58</v>
      </c>
      <c r="G78" s="458">
        <f ca="1">'9.0중기목록'!E38</f>
        <v>17696</v>
      </c>
      <c r="H78" s="458">
        <f ca="1">INT(G78*C78)</f>
        <v>53</v>
      </c>
      <c r="I78" s="458">
        <f ca="1">'9.0중기목록'!G38</f>
        <v>9529</v>
      </c>
      <c r="J78" s="458">
        <f>INT(I78*C78)</f>
        <v>28</v>
      </c>
      <c r="K78" s="459">
        <f>+J78+H78+F78</f>
        <v>139</v>
      </c>
      <c r="L78" s="442"/>
      <c r="M78" s="442"/>
      <c r="N78" s="442"/>
      <c r="O78" s="442"/>
      <c r="P78" s="442"/>
      <c r="Q78" s="442"/>
      <c r="R78" s="442"/>
      <c r="S78" s="442"/>
      <c r="T78" s="442"/>
      <c r="U78" s="442"/>
      <c r="V78" s="442"/>
      <c r="W78" s="442"/>
      <c r="X78" s="442"/>
    </row>
    <row r="79" spans="1:24" ht="26.85" customHeight="1">
      <c r="A79" s="455" t="s">
        <v>769</v>
      </c>
      <c r="B79" s="456" t="s">
        <v>770</v>
      </c>
      <c r="C79" s="461">
        <v>3.0000000000000001E-3</v>
      </c>
      <c r="D79" s="456" t="s">
        <v>1179</v>
      </c>
      <c r="E79" s="458">
        <f ca="1">'9.0중기목록'!F12</f>
        <v>6640</v>
      </c>
      <c r="F79" s="458">
        <f t="shared" si="0"/>
        <v>19</v>
      </c>
      <c r="G79" s="458">
        <f ca="1">'9.0중기목록'!E12</f>
        <v>17696</v>
      </c>
      <c r="H79" s="458">
        <f t="shared" si="1"/>
        <v>53</v>
      </c>
      <c r="I79" s="458">
        <f ca="1">'9.0중기목록'!G12</f>
        <v>10362</v>
      </c>
      <c r="J79" s="458">
        <f t="shared" si="2"/>
        <v>31</v>
      </c>
      <c r="K79" s="459">
        <f t="shared" si="3"/>
        <v>103</v>
      </c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</row>
    <row r="80" spans="1:24" ht="26.85" customHeight="1">
      <c r="A80" s="455" t="s">
        <v>1564</v>
      </c>
      <c r="B80" s="456" t="s">
        <v>1354</v>
      </c>
      <c r="C80" s="461">
        <v>3.0000000000000001E-3</v>
      </c>
      <c r="D80" s="456" t="s">
        <v>1179</v>
      </c>
      <c r="E80" s="458">
        <v>2348</v>
      </c>
      <c r="F80" s="458">
        <f t="shared" si="0"/>
        <v>7</v>
      </c>
      <c r="G80" s="458">
        <v>12817</v>
      </c>
      <c r="H80" s="458">
        <f t="shared" si="1"/>
        <v>38</v>
      </c>
      <c r="I80" s="458">
        <v>17893</v>
      </c>
      <c r="J80" s="458">
        <f t="shared" si="2"/>
        <v>53</v>
      </c>
      <c r="K80" s="459">
        <f t="shared" si="3"/>
        <v>98</v>
      </c>
      <c r="L80" s="442"/>
      <c r="M80" s="442"/>
      <c r="N80" s="442"/>
      <c r="O80" s="442"/>
      <c r="P80" s="442"/>
      <c r="Q80" s="442"/>
      <c r="R80" s="442"/>
      <c r="S80" s="442"/>
      <c r="T80" s="442"/>
      <c r="U80" s="442"/>
      <c r="V80" s="442"/>
      <c r="W80" s="442"/>
      <c r="X80" s="442"/>
    </row>
    <row r="81" spans="1:24" ht="26.85" customHeight="1">
      <c r="A81" s="455"/>
      <c r="B81" s="456"/>
      <c r="C81" s="461"/>
      <c r="D81" s="456"/>
      <c r="E81" s="458"/>
      <c r="F81" s="458"/>
      <c r="G81" s="458"/>
      <c r="H81" s="458"/>
      <c r="I81" s="458"/>
      <c r="J81" s="458"/>
      <c r="K81" s="459"/>
      <c r="L81" s="442"/>
      <c r="M81" s="442"/>
      <c r="N81" s="442"/>
      <c r="O81" s="442"/>
      <c r="P81" s="442"/>
      <c r="Q81" s="442"/>
      <c r="R81" s="442"/>
      <c r="S81" s="442"/>
      <c r="T81" s="442"/>
      <c r="U81" s="442"/>
      <c r="V81" s="442"/>
      <c r="W81" s="442"/>
      <c r="X81" s="442"/>
    </row>
    <row r="82" spans="1:24" ht="26.85" customHeight="1">
      <c r="A82" s="455"/>
      <c r="B82" s="456"/>
      <c r="C82" s="457"/>
      <c r="D82" s="456"/>
      <c r="E82" s="453"/>
      <c r="F82" s="453"/>
      <c r="G82" s="453"/>
      <c r="H82" s="458"/>
      <c r="I82" s="458"/>
      <c r="J82" s="458"/>
      <c r="K82" s="459"/>
      <c r="L82" s="442"/>
      <c r="M82" s="442"/>
      <c r="N82" s="442"/>
      <c r="O82" s="442"/>
      <c r="P82" s="442"/>
      <c r="Q82" s="442"/>
      <c r="R82" s="442"/>
      <c r="S82" s="442"/>
      <c r="T82" s="442"/>
      <c r="U82" s="442"/>
      <c r="V82" s="442"/>
      <c r="W82" s="442"/>
      <c r="X82" s="442"/>
    </row>
    <row r="83" spans="1:24" ht="26.85" customHeight="1">
      <c r="A83" s="455" t="s">
        <v>1355</v>
      </c>
      <c r="B83" s="456"/>
      <c r="C83" s="462"/>
      <c r="D83" s="456"/>
      <c r="E83" s="453"/>
      <c r="F83" s="458">
        <f>SUM(F68:F82)</f>
        <v>4122</v>
      </c>
      <c r="G83" s="453"/>
      <c r="H83" s="458">
        <f>SUM(H68:H82)</f>
        <v>958</v>
      </c>
      <c r="I83" s="458"/>
      <c r="J83" s="458">
        <f>SUM(J68:J82)</f>
        <v>135</v>
      </c>
      <c r="K83" s="520">
        <f>SUM(K68:K82)</f>
        <v>5215</v>
      </c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</row>
    <row r="84" spans="1:24" ht="26.85" customHeight="1">
      <c r="A84" s="463"/>
      <c r="B84" s="464"/>
      <c r="C84" s="465"/>
      <c r="D84" s="464"/>
      <c r="E84" s="466"/>
      <c r="F84" s="466"/>
      <c r="G84" s="466"/>
      <c r="H84" s="466"/>
      <c r="I84" s="466"/>
      <c r="J84" s="466"/>
      <c r="K84" s="467"/>
      <c r="L84" s="442"/>
      <c r="M84" s="442"/>
      <c r="N84" s="442"/>
      <c r="O84" s="442"/>
      <c r="P84" s="442"/>
      <c r="Q84" s="442"/>
      <c r="R84" s="442"/>
      <c r="S84" s="442"/>
      <c r="T84" s="442"/>
      <c r="U84" s="442"/>
      <c r="V84" s="442"/>
      <c r="W84" s="442"/>
      <c r="X84" s="442"/>
    </row>
    <row r="85" spans="1:24" ht="26.85" customHeight="1">
      <c r="A85" s="1977" t="s">
        <v>1357</v>
      </c>
      <c r="B85" s="1978"/>
      <c r="C85" s="1978"/>
      <c r="D85" s="1978"/>
      <c r="E85" s="1978"/>
      <c r="F85" s="1979"/>
      <c r="G85" s="468"/>
      <c r="H85" s="468"/>
      <c r="I85" s="468"/>
      <c r="J85" s="468"/>
      <c r="K85" s="469"/>
    </row>
    <row r="86" spans="1:24" ht="26.85" customHeight="1">
      <c r="A86" s="455" t="s">
        <v>1339</v>
      </c>
      <c r="B86" s="456" t="s">
        <v>1340</v>
      </c>
      <c r="C86" s="461">
        <v>4.4999999999999998E-2</v>
      </c>
      <c r="D86" s="456" t="s">
        <v>1341</v>
      </c>
      <c r="E86" s="458">
        <v>40000</v>
      </c>
      <c r="F86" s="458">
        <f t="shared" ref="F86:F98" si="4">INT(E86*C86)</f>
        <v>1800</v>
      </c>
      <c r="G86" s="453"/>
      <c r="H86" s="453">
        <f t="shared" ref="H86:H98" si="5">INT(G86*C86)</f>
        <v>0</v>
      </c>
      <c r="I86" s="453"/>
      <c r="J86" s="453">
        <f t="shared" ref="J86:J98" si="6">INT(I86*C86)</f>
        <v>0</v>
      </c>
      <c r="K86" s="459">
        <f t="shared" ref="K86:K98" si="7">+J86+H86+F86</f>
        <v>1800</v>
      </c>
      <c r="L86" s="442"/>
      <c r="M86" s="442"/>
      <c r="N86" s="442"/>
      <c r="O86" s="442"/>
      <c r="P86" s="442"/>
      <c r="Q86" s="442"/>
      <c r="R86" s="442"/>
      <c r="S86" s="442"/>
      <c r="T86" s="442"/>
      <c r="U86" s="442"/>
      <c r="V86" s="442"/>
      <c r="W86" s="442"/>
      <c r="X86" s="442"/>
    </row>
    <row r="87" spans="1:24" ht="26.85" customHeight="1">
      <c r="A87" s="455" t="s">
        <v>1342</v>
      </c>
      <c r="B87" s="456"/>
      <c r="C87" s="461">
        <v>7.4999999999999997E-2</v>
      </c>
      <c r="D87" s="456" t="s">
        <v>1341</v>
      </c>
      <c r="E87" s="458">
        <v>27121</v>
      </c>
      <c r="F87" s="458">
        <f t="shared" si="4"/>
        <v>2034</v>
      </c>
      <c r="G87" s="453"/>
      <c r="H87" s="453">
        <f t="shared" si="5"/>
        <v>0</v>
      </c>
      <c r="I87" s="453"/>
      <c r="J87" s="453">
        <f t="shared" si="6"/>
        <v>0</v>
      </c>
      <c r="K87" s="459">
        <f t="shared" si="7"/>
        <v>2034</v>
      </c>
      <c r="L87" s="442"/>
      <c r="M87" s="442"/>
      <c r="N87" s="442"/>
      <c r="O87" s="442"/>
      <c r="P87" s="442"/>
      <c r="Q87" s="442"/>
      <c r="R87" s="442"/>
      <c r="S87" s="442"/>
      <c r="T87" s="442"/>
      <c r="U87" s="442"/>
      <c r="V87" s="442"/>
      <c r="W87" s="442"/>
      <c r="X87" s="442"/>
    </row>
    <row r="88" spans="1:24" ht="26.85" customHeight="1">
      <c r="A88" s="455" t="s">
        <v>1343</v>
      </c>
      <c r="B88" s="460" t="s">
        <v>1359</v>
      </c>
      <c r="C88" s="457">
        <v>6.7</v>
      </c>
      <c r="D88" s="456" t="s">
        <v>767</v>
      </c>
      <c r="E88" s="458">
        <v>790</v>
      </c>
      <c r="F88" s="458">
        <f t="shared" si="4"/>
        <v>5293</v>
      </c>
      <c r="G88" s="453"/>
      <c r="H88" s="453">
        <f t="shared" si="5"/>
        <v>0</v>
      </c>
      <c r="I88" s="453"/>
      <c r="J88" s="453">
        <f t="shared" si="6"/>
        <v>0</v>
      </c>
      <c r="K88" s="459">
        <f t="shared" si="7"/>
        <v>5293</v>
      </c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</row>
    <row r="89" spans="1:24" ht="26.85" customHeight="1">
      <c r="A89" s="455" t="s">
        <v>1345</v>
      </c>
      <c r="B89" s="460" t="s">
        <v>1346</v>
      </c>
      <c r="C89" s="457">
        <v>1.2</v>
      </c>
      <c r="D89" s="456" t="s">
        <v>1347</v>
      </c>
      <c r="E89" s="458">
        <v>600</v>
      </c>
      <c r="F89" s="458">
        <f t="shared" si="4"/>
        <v>720</v>
      </c>
      <c r="G89" s="453"/>
      <c r="H89" s="453">
        <f t="shared" si="5"/>
        <v>0</v>
      </c>
      <c r="I89" s="453"/>
      <c r="J89" s="453">
        <f t="shared" si="6"/>
        <v>0</v>
      </c>
      <c r="K89" s="459">
        <f t="shared" si="7"/>
        <v>720</v>
      </c>
      <c r="L89" s="442"/>
      <c r="M89" s="442"/>
      <c r="N89" s="442"/>
      <c r="O89" s="442"/>
      <c r="P89" s="442"/>
      <c r="Q89" s="442"/>
      <c r="R89" s="442"/>
      <c r="S89" s="442"/>
      <c r="T89" s="442"/>
      <c r="U89" s="442"/>
      <c r="V89" s="442"/>
      <c r="W89" s="442"/>
      <c r="X89" s="442"/>
    </row>
    <row r="90" spans="1:24" ht="26.85" customHeight="1">
      <c r="A90" s="455" t="s">
        <v>1348</v>
      </c>
      <c r="B90" s="460" t="s">
        <v>1349</v>
      </c>
      <c r="C90" s="457">
        <v>1</v>
      </c>
      <c r="D90" s="456" t="s">
        <v>1350</v>
      </c>
      <c r="E90" s="458">
        <v>80</v>
      </c>
      <c r="F90" s="458">
        <f t="shared" si="4"/>
        <v>80</v>
      </c>
      <c r="G90" s="453"/>
      <c r="H90" s="453">
        <f t="shared" si="5"/>
        <v>0</v>
      </c>
      <c r="I90" s="453"/>
      <c r="J90" s="453">
        <f t="shared" si="6"/>
        <v>0</v>
      </c>
      <c r="K90" s="459">
        <f t="shared" si="7"/>
        <v>80</v>
      </c>
      <c r="L90" s="442"/>
      <c r="M90" s="442"/>
      <c r="N90" s="442"/>
      <c r="O90" s="442"/>
      <c r="P90" s="442"/>
      <c r="Q90" s="442"/>
      <c r="R90" s="442"/>
      <c r="S90" s="442"/>
      <c r="T90" s="442"/>
      <c r="U90" s="442"/>
      <c r="V90" s="442"/>
      <c r="W90" s="442"/>
      <c r="X90" s="442"/>
    </row>
    <row r="91" spans="1:24" ht="26.85" customHeight="1">
      <c r="A91" s="455" t="s">
        <v>970</v>
      </c>
      <c r="B91" s="456"/>
      <c r="C91" s="461">
        <v>2E-3</v>
      </c>
      <c r="D91" s="456" t="s">
        <v>820</v>
      </c>
      <c r="E91" s="453"/>
      <c r="F91" s="453">
        <f t="shared" si="4"/>
        <v>0</v>
      </c>
      <c r="G91" s="453">
        <f ca="1">'11.0시중노임'!F4</f>
        <v>92218</v>
      </c>
      <c r="H91" s="458">
        <f t="shared" si="5"/>
        <v>184</v>
      </c>
      <c r="I91" s="453"/>
      <c r="J91" s="453">
        <f t="shared" si="6"/>
        <v>0</v>
      </c>
      <c r="K91" s="459">
        <f t="shared" si="7"/>
        <v>184</v>
      </c>
      <c r="L91" s="442"/>
      <c r="M91" s="442"/>
      <c r="N91" s="442"/>
      <c r="O91" s="442"/>
      <c r="P91" s="442"/>
      <c r="Q91" s="442"/>
      <c r="R91" s="442"/>
      <c r="S91" s="442"/>
      <c r="T91" s="442"/>
      <c r="U91" s="442"/>
      <c r="V91" s="442"/>
      <c r="W91" s="442"/>
      <c r="X91" s="442"/>
    </row>
    <row r="92" spans="1:24" ht="26.85" customHeight="1">
      <c r="A92" s="455" t="s">
        <v>967</v>
      </c>
      <c r="B92" s="456"/>
      <c r="C92" s="461">
        <v>6.0000000000000001E-3</v>
      </c>
      <c r="D92" s="456" t="s">
        <v>820</v>
      </c>
      <c r="E92" s="453"/>
      <c r="F92" s="453">
        <f t="shared" si="4"/>
        <v>0</v>
      </c>
      <c r="G92" s="453">
        <f ca="1">'11.0시중노임'!F5</f>
        <v>84404</v>
      </c>
      <c r="H92" s="458">
        <f t="shared" si="5"/>
        <v>506</v>
      </c>
      <c r="I92" s="453"/>
      <c r="J92" s="453">
        <f t="shared" si="6"/>
        <v>0</v>
      </c>
      <c r="K92" s="459">
        <f t="shared" si="7"/>
        <v>506</v>
      </c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</row>
    <row r="93" spans="1:24" ht="26.85" customHeight="1">
      <c r="A93" s="455" t="s">
        <v>1351</v>
      </c>
      <c r="B93" s="456"/>
      <c r="C93" s="461">
        <v>2E-3</v>
      </c>
      <c r="D93" s="456" t="s">
        <v>820</v>
      </c>
      <c r="E93" s="453"/>
      <c r="F93" s="453">
        <f t="shared" si="4"/>
        <v>0</v>
      </c>
      <c r="G93" s="458">
        <f ca="1">'11.0시중노임'!F14</f>
        <v>118515</v>
      </c>
      <c r="H93" s="458">
        <f t="shared" si="5"/>
        <v>237</v>
      </c>
      <c r="I93" s="453"/>
      <c r="J93" s="453">
        <f t="shared" si="6"/>
        <v>0</v>
      </c>
      <c r="K93" s="459">
        <f t="shared" si="7"/>
        <v>237</v>
      </c>
      <c r="L93" s="442"/>
      <c r="M93" s="442"/>
      <c r="N93" s="442"/>
      <c r="O93" s="442"/>
      <c r="P93" s="442"/>
      <c r="Q93" s="442"/>
      <c r="R93" s="442"/>
      <c r="S93" s="442"/>
      <c r="T93" s="442"/>
      <c r="U93" s="442"/>
      <c r="V93" s="442"/>
      <c r="W93" s="442"/>
      <c r="X93" s="442"/>
    </row>
    <row r="94" spans="1:24" ht="26.85" customHeight="1">
      <c r="A94" s="455" t="s">
        <v>971</v>
      </c>
      <c r="B94" s="456"/>
      <c r="C94" s="461">
        <v>8.0000000000000002E-3</v>
      </c>
      <c r="D94" s="456" t="s">
        <v>820</v>
      </c>
      <c r="E94" s="453"/>
      <c r="F94" s="453">
        <f t="shared" si="4"/>
        <v>0</v>
      </c>
      <c r="G94" s="458">
        <f ca="1">'11.0시중노임'!F6</f>
        <v>68965</v>
      </c>
      <c r="H94" s="458">
        <f t="shared" si="5"/>
        <v>551</v>
      </c>
      <c r="I94" s="453"/>
      <c r="J94" s="453">
        <f t="shared" si="6"/>
        <v>0</v>
      </c>
      <c r="K94" s="459">
        <f t="shared" si="7"/>
        <v>551</v>
      </c>
      <c r="L94" s="442"/>
      <c r="M94" s="442"/>
      <c r="N94" s="442"/>
      <c r="O94" s="442"/>
      <c r="P94" s="442"/>
      <c r="Q94" s="442"/>
      <c r="R94" s="442"/>
      <c r="S94" s="442"/>
      <c r="T94" s="442"/>
      <c r="U94" s="442"/>
      <c r="V94" s="442"/>
      <c r="W94" s="442"/>
      <c r="X94" s="442"/>
    </row>
    <row r="95" spans="1:24" ht="26.85" customHeight="1">
      <c r="A95" s="455" t="s">
        <v>772</v>
      </c>
      <c r="B95" s="456" t="s">
        <v>773</v>
      </c>
      <c r="C95" s="461">
        <v>5.0000000000000001E-3</v>
      </c>
      <c r="D95" s="456" t="s">
        <v>1179</v>
      </c>
      <c r="E95" s="458">
        <f ca="1">'9.0중기목록'!F14</f>
        <v>13117</v>
      </c>
      <c r="F95" s="458">
        <f t="shared" si="4"/>
        <v>65</v>
      </c>
      <c r="G95" s="458">
        <f ca="1">'9.0중기목록'!E14</f>
        <v>17696</v>
      </c>
      <c r="H95" s="458">
        <f t="shared" si="5"/>
        <v>88</v>
      </c>
      <c r="I95" s="458">
        <f ca="1">'9.0중기목록'!G14</f>
        <v>7823</v>
      </c>
      <c r="J95" s="458">
        <f t="shared" si="6"/>
        <v>39</v>
      </c>
      <c r="K95" s="459">
        <f t="shared" si="7"/>
        <v>192</v>
      </c>
      <c r="L95" s="442"/>
      <c r="M95" s="442"/>
      <c r="N95" s="442"/>
      <c r="O95" s="442"/>
      <c r="P95" s="442"/>
      <c r="Q95" s="442"/>
      <c r="R95" s="442"/>
      <c r="S95" s="442"/>
      <c r="T95" s="442"/>
      <c r="U95" s="442"/>
      <c r="V95" s="442"/>
      <c r="W95" s="442"/>
      <c r="X95" s="442"/>
    </row>
    <row r="96" spans="1:24" ht="26.85" customHeight="1">
      <c r="A96" s="455" t="s">
        <v>1335</v>
      </c>
      <c r="B96" s="456" t="s">
        <v>1352</v>
      </c>
      <c r="C96" s="461">
        <v>5.0000000000000001E-3</v>
      </c>
      <c r="D96" s="456" t="s">
        <v>1179</v>
      </c>
      <c r="E96" s="458">
        <f ca="1">'9.0중기목록'!F38</f>
        <v>19373</v>
      </c>
      <c r="F96" s="458">
        <f t="shared" si="4"/>
        <v>96</v>
      </c>
      <c r="G96" s="458">
        <f ca="1">'9.0중기목록'!E38</f>
        <v>17696</v>
      </c>
      <c r="H96" s="458">
        <f t="shared" si="5"/>
        <v>88</v>
      </c>
      <c r="I96" s="458">
        <f ca="1">'9.0중기목록'!G38</f>
        <v>9529</v>
      </c>
      <c r="J96" s="458">
        <f t="shared" si="6"/>
        <v>47</v>
      </c>
      <c r="K96" s="459">
        <f t="shared" si="7"/>
        <v>231</v>
      </c>
      <c r="L96" s="442"/>
      <c r="M96" s="442"/>
      <c r="N96" s="442"/>
      <c r="O96" s="442"/>
      <c r="P96" s="442"/>
      <c r="Q96" s="442"/>
      <c r="R96" s="442"/>
      <c r="S96" s="442"/>
      <c r="T96" s="442"/>
      <c r="U96" s="442"/>
      <c r="V96" s="442"/>
      <c r="W96" s="442"/>
      <c r="X96" s="442"/>
    </row>
    <row r="97" spans="1:24" ht="26.85" customHeight="1">
      <c r="A97" s="455" t="s">
        <v>769</v>
      </c>
      <c r="B97" s="456" t="s">
        <v>770</v>
      </c>
      <c r="C97" s="461">
        <v>5.0000000000000001E-3</v>
      </c>
      <c r="D97" s="456" t="s">
        <v>1179</v>
      </c>
      <c r="E97" s="458">
        <f ca="1">'9.0중기목록'!F12</f>
        <v>6640</v>
      </c>
      <c r="F97" s="458">
        <f t="shared" si="4"/>
        <v>33</v>
      </c>
      <c r="G97" s="458">
        <f ca="1">'9.0중기목록'!E12</f>
        <v>17696</v>
      </c>
      <c r="H97" s="458">
        <f t="shared" si="5"/>
        <v>88</v>
      </c>
      <c r="I97" s="458">
        <f ca="1">'9.0중기목록'!G12</f>
        <v>10362</v>
      </c>
      <c r="J97" s="458">
        <f t="shared" si="6"/>
        <v>51</v>
      </c>
      <c r="K97" s="459">
        <f t="shared" si="7"/>
        <v>172</v>
      </c>
      <c r="L97" s="442"/>
      <c r="M97" s="442"/>
      <c r="N97" s="442"/>
      <c r="O97" s="442"/>
      <c r="P97" s="442"/>
      <c r="Q97" s="442"/>
      <c r="R97" s="442"/>
      <c r="S97" s="442"/>
      <c r="T97" s="442"/>
      <c r="U97" s="442"/>
      <c r="V97" s="442"/>
      <c r="W97" s="442"/>
      <c r="X97" s="442"/>
    </row>
    <row r="98" spans="1:24" ht="26.85" customHeight="1">
      <c r="A98" s="455" t="s">
        <v>1353</v>
      </c>
      <c r="B98" s="456" t="s">
        <v>1354</v>
      </c>
      <c r="C98" s="461">
        <v>5.0000000000000001E-3</v>
      </c>
      <c r="D98" s="456" t="s">
        <v>1179</v>
      </c>
      <c r="E98" s="458">
        <v>2348</v>
      </c>
      <c r="F98" s="458">
        <f t="shared" si="4"/>
        <v>11</v>
      </c>
      <c r="G98" s="458">
        <v>12817</v>
      </c>
      <c r="H98" s="458">
        <f t="shared" si="5"/>
        <v>64</v>
      </c>
      <c r="I98" s="458">
        <v>17893</v>
      </c>
      <c r="J98" s="458">
        <f t="shared" si="6"/>
        <v>89</v>
      </c>
      <c r="K98" s="459">
        <f t="shared" si="7"/>
        <v>164</v>
      </c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</row>
    <row r="99" spans="1:24" ht="26.85" customHeight="1">
      <c r="A99" s="455"/>
      <c r="B99" s="456"/>
      <c r="C99" s="461"/>
      <c r="D99" s="456"/>
      <c r="E99" s="458"/>
      <c r="F99" s="458"/>
      <c r="G99" s="458"/>
      <c r="H99" s="458"/>
      <c r="I99" s="458"/>
      <c r="J99" s="458"/>
      <c r="K99" s="459"/>
      <c r="L99" s="442"/>
      <c r="M99" s="442"/>
      <c r="N99" s="442"/>
      <c r="O99" s="442"/>
      <c r="P99" s="442"/>
      <c r="Q99" s="442"/>
      <c r="R99" s="442"/>
      <c r="S99" s="442"/>
      <c r="T99" s="442"/>
      <c r="U99" s="442"/>
      <c r="V99" s="442"/>
      <c r="W99" s="442"/>
      <c r="X99" s="442"/>
    </row>
    <row r="100" spans="1:24" ht="26.85" customHeight="1">
      <c r="A100" s="455" t="s">
        <v>1358</v>
      </c>
      <c r="B100" s="456"/>
      <c r="C100" s="476"/>
      <c r="D100" s="456"/>
      <c r="E100" s="453"/>
      <c r="F100" s="458">
        <f>SUM(F86:F99)</f>
        <v>10132</v>
      </c>
      <c r="G100" s="453"/>
      <c r="H100" s="458">
        <f>SUM(H86:H99)</f>
        <v>1806</v>
      </c>
      <c r="I100" s="458"/>
      <c r="J100" s="458">
        <f>SUM(J86:J99)</f>
        <v>226</v>
      </c>
      <c r="K100" s="520">
        <f>SUM(K86:K99)</f>
        <v>12164</v>
      </c>
    </row>
    <row r="101" spans="1:24" ht="26.85" customHeight="1">
      <c r="A101" s="463"/>
      <c r="B101" s="464"/>
      <c r="C101" s="477"/>
      <c r="D101" s="464"/>
      <c r="E101" s="466"/>
      <c r="F101" s="466"/>
      <c r="G101" s="466"/>
      <c r="H101" s="466"/>
      <c r="I101" s="466"/>
      <c r="J101" s="466"/>
      <c r="K101" s="467"/>
    </row>
    <row r="102" spans="1:24" s="449" customFormat="1" ht="26.1" customHeight="1">
      <c r="A102" s="1868" t="s">
        <v>1218</v>
      </c>
      <c r="B102" s="1866" t="s">
        <v>763</v>
      </c>
      <c r="C102" s="1864" t="s">
        <v>1330</v>
      </c>
      <c r="D102" s="1866" t="s">
        <v>983</v>
      </c>
      <c r="E102" s="1863" t="s">
        <v>764</v>
      </c>
      <c r="F102" s="1863"/>
      <c r="G102" s="1863" t="s">
        <v>765</v>
      </c>
      <c r="H102" s="1863"/>
      <c r="I102" s="1863" t="s">
        <v>1331</v>
      </c>
      <c r="J102" s="1863"/>
      <c r="K102" s="450" t="s">
        <v>1332</v>
      </c>
      <c r="L102" s="448"/>
      <c r="M102" s="448"/>
      <c r="N102" s="448"/>
      <c r="O102" s="448"/>
      <c r="P102" s="448"/>
      <c r="Q102" s="448"/>
      <c r="R102" s="448"/>
      <c r="S102" s="448"/>
      <c r="T102" s="448"/>
      <c r="U102" s="448"/>
      <c r="V102" s="448"/>
      <c r="W102" s="448"/>
      <c r="X102" s="448"/>
    </row>
    <row r="103" spans="1:24" s="449" customFormat="1" ht="26.1" customHeight="1">
      <c r="A103" s="1869"/>
      <c r="B103" s="1867"/>
      <c r="C103" s="1865"/>
      <c r="D103" s="1867"/>
      <c r="E103" s="451" t="s">
        <v>1333</v>
      </c>
      <c r="F103" s="451" t="s">
        <v>1334</v>
      </c>
      <c r="G103" s="451" t="s">
        <v>1333</v>
      </c>
      <c r="H103" s="451" t="s">
        <v>1334</v>
      </c>
      <c r="I103" s="451" t="s">
        <v>1333</v>
      </c>
      <c r="J103" s="451" t="s">
        <v>1334</v>
      </c>
      <c r="K103" s="452" t="s">
        <v>1334</v>
      </c>
      <c r="L103" s="448"/>
      <c r="M103" s="448"/>
      <c r="N103" s="448"/>
      <c r="O103" s="448"/>
      <c r="P103" s="448"/>
      <c r="Q103" s="448"/>
      <c r="R103" s="448"/>
      <c r="S103" s="448"/>
      <c r="T103" s="448"/>
      <c r="U103" s="448"/>
      <c r="V103" s="448"/>
      <c r="W103" s="448"/>
      <c r="X103" s="448"/>
    </row>
    <row r="104" spans="1:24" ht="26.85" customHeight="1">
      <c r="A104" s="1977" t="s">
        <v>1360</v>
      </c>
      <c r="B104" s="1978"/>
      <c r="C104" s="1978"/>
      <c r="D104" s="1978"/>
      <c r="E104" s="1978"/>
      <c r="F104" s="1979"/>
      <c r="G104" s="468"/>
      <c r="H104" s="468"/>
      <c r="I104" s="468"/>
      <c r="J104" s="468"/>
      <c r="K104" s="469"/>
    </row>
    <row r="105" spans="1:24" ht="26.85" customHeight="1">
      <c r="A105" s="455" t="s">
        <v>1339</v>
      </c>
      <c r="B105" s="456" t="s">
        <v>1340</v>
      </c>
      <c r="C105" s="461">
        <v>6.6000000000000003E-2</v>
      </c>
      <c r="D105" s="456" t="s">
        <v>1341</v>
      </c>
      <c r="E105" s="458">
        <v>40000</v>
      </c>
      <c r="F105" s="458">
        <f t="shared" ref="F105:F117" si="8">INT(E105*C105)</f>
        <v>2640</v>
      </c>
      <c r="G105" s="453"/>
      <c r="H105" s="453">
        <f t="shared" ref="H105:H117" si="9">INT(G105*C105)</f>
        <v>0</v>
      </c>
      <c r="I105" s="453"/>
      <c r="J105" s="453">
        <f t="shared" ref="J105:J117" si="10">INT(I105*C105)</f>
        <v>0</v>
      </c>
      <c r="K105" s="459">
        <f t="shared" ref="K105:K117" si="11">+J105+H105+F105</f>
        <v>2640</v>
      </c>
      <c r="L105" s="442"/>
      <c r="M105" s="442"/>
      <c r="N105" s="442"/>
      <c r="O105" s="442"/>
      <c r="P105" s="442"/>
      <c r="Q105" s="442"/>
      <c r="R105" s="442"/>
      <c r="S105" s="442"/>
      <c r="T105" s="442"/>
      <c r="U105" s="442"/>
      <c r="V105" s="442"/>
      <c r="W105" s="442"/>
      <c r="X105" s="442"/>
    </row>
    <row r="106" spans="1:24" ht="26.85" customHeight="1">
      <c r="A106" s="455" t="s">
        <v>1342</v>
      </c>
      <c r="B106" s="456"/>
      <c r="C106" s="461">
        <v>0.11</v>
      </c>
      <c r="D106" s="456" t="s">
        <v>1341</v>
      </c>
      <c r="E106" s="458">
        <v>27121</v>
      </c>
      <c r="F106" s="458">
        <f t="shared" si="8"/>
        <v>2983</v>
      </c>
      <c r="G106" s="453"/>
      <c r="H106" s="453">
        <f t="shared" si="9"/>
        <v>0</v>
      </c>
      <c r="I106" s="453"/>
      <c r="J106" s="453">
        <f t="shared" si="10"/>
        <v>0</v>
      </c>
      <c r="K106" s="459">
        <f t="shared" si="11"/>
        <v>2983</v>
      </c>
      <c r="L106" s="442"/>
      <c r="M106" s="442"/>
      <c r="N106" s="442"/>
      <c r="O106" s="442"/>
      <c r="P106" s="442"/>
      <c r="Q106" s="442"/>
      <c r="R106" s="442"/>
      <c r="S106" s="442"/>
      <c r="T106" s="442"/>
      <c r="U106" s="442"/>
      <c r="V106" s="442"/>
      <c r="W106" s="442"/>
      <c r="X106" s="442"/>
    </row>
    <row r="107" spans="1:24" ht="26.85" customHeight="1">
      <c r="A107" s="455" t="s">
        <v>1343</v>
      </c>
      <c r="B107" s="460" t="s">
        <v>1361</v>
      </c>
      <c r="C107" s="519">
        <v>15.95</v>
      </c>
      <c r="D107" s="456" t="s">
        <v>767</v>
      </c>
      <c r="E107" s="458">
        <v>840</v>
      </c>
      <c r="F107" s="458">
        <f t="shared" si="8"/>
        <v>13398</v>
      </c>
      <c r="G107" s="453"/>
      <c r="H107" s="453">
        <f t="shared" si="9"/>
        <v>0</v>
      </c>
      <c r="I107" s="453"/>
      <c r="J107" s="453">
        <f t="shared" si="10"/>
        <v>0</v>
      </c>
      <c r="K107" s="459">
        <f t="shared" si="11"/>
        <v>13398</v>
      </c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</row>
    <row r="108" spans="1:24" ht="26.85" customHeight="1">
      <c r="A108" s="455" t="s">
        <v>1345</v>
      </c>
      <c r="B108" s="460" t="s">
        <v>1346</v>
      </c>
      <c r="C108" s="457">
        <v>1.2</v>
      </c>
      <c r="D108" s="456" t="s">
        <v>1347</v>
      </c>
      <c r="E108" s="458">
        <v>600</v>
      </c>
      <c r="F108" s="458">
        <f t="shared" si="8"/>
        <v>720</v>
      </c>
      <c r="G108" s="453"/>
      <c r="H108" s="453">
        <f t="shared" si="9"/>
        <v>0</v>
      </c>
      <c r="I108" s="453"/>
      <c r="J108" s="453">
        <f t="shared" si="10"/>
        <v>0</v>
      </c>
      <c r="K108" s="459">
        <f t="shared" si="11"/>
        <v>720</v>
      </c>
      <c r="L108" s="442"/>
      <c r="M108" s="442"/>
      <c r="N108" s="442"/>
      <c r="O108" s="442"/>
      <c r="P108" s="442"/>
      <c r="Q108" s="442"/>
      <c r="R108" s="442"/>
      <c r="S108" s="442"/>
      <c r="T108" s="442"/>
      <c r="U108" s="442"/>
      <c r="V108" s="442"/>
      <c r="W108" s="442"/>
      <c r="X108" s="442"/>
    </row>
    <row r="109" spans="1:24" ht="26.85" customHeight="1">
      <c r="A109" s="455" t="s">
        <v>1348</v>
      </c>
      <c r="B109" s="460" t="s">
        <v>1349</v>
      </c>
      <c r="C109" s="457">
        <v>1</v>
      </c>
      <c r="D109" s="456" t="s">
        <v>1350</v>
      </c>
      <c r="E109" s="458">
        <v>80</v>
      </c>
      <c r="F109" s="458">
        <f t="shared" si="8"/>
        <v>80</v>
      </c>
      <c r="G109" s="453"/>
      <c r="H109" s="453">
        <f t="shared" si="9"/>
        <v>0</v>
      </c>
      <c r="I109" s="453"/>
      <c r="J109" s="453">
        <f t="shared" si="10"/>
        <v>0</v>
      </c>
      <c r="K109" s="459">
        <f t="shared" si="11"/>
        <v>80</v>
      </c>
      <c r="L109" s="442"/>
      <c r="M109" s="442"/>
      <c r="N109" s="442"/>
      <c r="O109" s="442"/>
      <c r="P109" s="442"/>
      <c r="Q109" s="442"/>
      <c r="R109" s="442"/>
      <c r="S109" s="442"/>
      <c r="T109" s="442"/>
      <c r="U109" s="442"/>
      <c r="V109" s="442"/>
      <c r="W109" s="442"/>
      <c r="X109" s="442"/>
    </row>
    <row r="110" spans="1:24" ht="26.85" customHeight="1">
      <c r="A110" s="455" t="s">
        <v>970</v>
      </c>
      <c r="B110" s="456"/>
      <c r="C110" s="461">
        <v>3.0000000000000001E-3</v>
      </c>
      <c r="D110" s="456" t="s">
        <v>820</v>
      </c>
      <c r="E110" s="453"/>
      <c r="F110" s="453">
        <f t="shared" si="8"/>
        <v>0</v>
      </c>
      <c r="G110" s="453">
        <f ca="1">'11.0시중노임'!F4</f>
        <v>92218</v>
      </c>
      <c r="H110" s="458">
        <f t="shared" si="9"/>
        <v>276</v>
      </c>
      <c r="I110" s="453"/>
      <c r="J110" s="453">
        <f t="shared" si="10"/>
        <v>0</v>
      </c>
      <c r="K110" s="459">
        <f t="shared" si="11"/>
        <v>276</v>
      </c>
      <c r="L110" s="442"/>
      <c r="M110" s="442"/>
      <c r="N110" s="442"/>
      <c r="O110" s="442"/>
      <c r="P110" s="442"/>
      <c r="Q110" s="442"/>
      <c r="R110" s="442"/>
      <c r="S110" s="442"/>
      <c r="T110" s="442"/>
      <c r="U110" s="442"/>
      <c r="V110" s="442"/>
      <c r="W110" s="442"/>
      <c r="X110" s="442"/>
    </row>
    <row r="111" spans="1:24" ht="26.85" customHeight="1">
      <c r="A111" s="455" t="s">
        <v>967</v>
      </c>
      <c r="B111" s="456"/>
      <c r="C111" s="461">
        <v>0.01</v>
      </c>
      <c r="D111" s="456" t="s">
        <v>820</v>
      </c>
      <c r="E111" s="453"/>
      <c r="F111" s="453">
        <f t="shared" si="8"/>
        <v>0</v>
      </c>
      <c r="G111" s="453">
        <f ca="1">'11.0시중노임'!F5</f>
        <v>84404</v>
      </c>
      <c r="H111" s="458">
        <f t="shared" si="9"/>
        <v>844</v>
      </c>
      <c r="I111" s="453"/>
      <c r="J111" s="453">
        <f t="shared" si="10"/>
        <v>0</v>
      </c>
      <c r="K111" s="459">
        <f t="shared" si="11"/>
        <v>844</v>
      </c>
      <c r="L111" s="442"/>
      <c r="M111" s="442"/>
      <c r="N111" s="442"/>
      <c r="O111" s="442"/>
      <c r="P111" s="442"/>
      <c r="Q111" s="442"/>
      <c r="R111" s="442"/>
      <c r="S111" s="442"/>
      <c r="T111" s="442"/>
      <c r="U111" s="442"/>
      <c r="V111" s="442"/>
      <c r="W111" s="442"/>
      <c r="X111" s="442"/>
    </row>
    <row r="112" spans="1:24" ht="26.85" customHeight="1">
      <c r="A112" s="455" t="s">
        <v>1351</v>
      </c>
      <c r="B112" s="456"/>
      <c r="C112" s="461">
        <v>3.0000000000000001E-3</v>
      </c>
      <c r="D112" s="456" t="s">
        <v>820</v>
      </c>
      <c r="E112" s="453"/>
      <c r="F112" s="453">
        <f t="shared" si="8"/>
        <v>0</v>
      </c>
      <c r="G112" s="458">
        <f ca="1">'11.0시중노임'!F14</f>
        <v>118515</v>
      </c>
      <c r="H112" s="458">
        <f t="shared" si="9"/>
        <v>355</v>
      </c>
      <c r="I112" s="453"/>
      <c r="J112" s="453">
        <f t="shared" si="10"/>
        <v>0</v>
      </c>
      <c r="K112" s="459">
        <f t="shared" si="11"/>
        <v>355</v>
      </c>
      <c r="L112" s="442"/>
      <c r="M112" s="442"/>
      <c r="N112" s="442"/>
      <c r="O112" s="442"/>
      <c r="P112" s="442"/>
      <c r="Q112" s="442"/>
      <c r="R112" s="442"/>
      <c r="S112" s="442"/>
      <c r="T112" s="442"/>
      <c r="U112" s="442"/>
      <c r="V112" s="442"/>
      <c r="W112" s="442"/>
      <c r="X112" s="442"/>
    </row>
    <row r="113" spans="1:24" ht="26.85" customHeight="1">
      <c r="A113" s="455" t="s">
        <v>971</v>
      </c>
      <c r="B113" s="456"/>
      <c r="C113" s="461">
        <v>1.6E-2</v>
      </c>
      <c r="D113" s="456" t="s">
        <v>820</v>
      </c>
      <c r="E113" s="453"/>
      <c r="F113" s="453">
        <f t="shared" si="8"/>
        <v>0</v>
      </c>
      <c r="G113" s="458">
        <f ca="1">'11.0시중노임'!F6</f>
        <v>68965</v>
      </c>
      <c r="H113" s="458">
        <f t="shared" si="9"/>
        <v>1103</v>
      </c>
      <c r="I113" s="453"/>
      <c r="J113" s="453">
        <f t="shared" si="10"/>
        <v>0</v>
      </c>
      <c r="K113" s="459">
        <f t="shared" si="11"/>
        <v>1103</v>
      </c>
      <c r="L113" s="442"/>
      <c r="M113" s="442"/>
      <c r="N113" s="442"/>
      <c r="O113" s="442"/>
      <c r="P113" s="442"/>
      <c r="Q113" s="442"/>
      <c r="R113" s="442"/>
      <c r="S113" s="442"/>
      <c r="T113" s="442"/>
      <c r="U113" s="442"/>
      <c r="V113" s="442"/>
      <c r="W113" s="442"/>
      <c r="X113" s="442"/>
    </row>
    <row r="114" spans="1:24" ht="26.85" customHeight="1">
      <c r="A114" s="455" t="s">
        <v>772</v>
      </c>
      <c r="B114" s="456" t="s">
        <v>773</v>
      </c>
      <c r="C114" s="461">
        <v>8.0000000000000002E-3</v>
      </c>
      <c r="D114" s="456" t="s">
        <v>1179</v>
      </c>
      <c r="E114" s="458">
        <f ca="1">'9.0중기목록'!F14</f>
        <v>13117</v>
      </c>
      <c r="F114" s="458">
        <f t="shared" si="8"/>
        <v>104</v>
      </c>
      <c r="G114" s="458">
        <f ca="1">'9.0중기목록'!E14</f>
        <v>17696</v>
      </c>
      <c r="H114" s="458">
        <f t="shared" si="9"/>
        <v>141</v>
      </c>
      <c r="I114" s="458">
        <f ca="1">'9.0중기목록'!G14</f>
        <v>7823</v>
      </c>
      <c r="J114" s="458">
        <f t="shared" si="10"/>
        <v>62</v>
      </c>
      <c r="K114" s="459">
        <f t="shared" si="11"/>
        <v>307</v>
      </c>
      <c r="L114" s="442"/>
      <c r="M114" s="442"/>
      <c r="N114" s="442"/>
      <c r="O114" s="442"/>
      <c r="P114" s="442"/>
      <c r="Q114" s="442"/>
      <c r="R114" s="442"/>
      <c r="S114" s="442"/>
      <c r="T114" s="442"/>
      <c r="U114" s="442"/>
      <c r="V114" s="442"/>
      <c r="W114" s="442"/>
      <c r="X114" s="442"/>
    </row>
    <row r="115" spans="1:24" ht="26.85" customHeight="1">
      <c r="A115" s="455" t="s">
        <v>1335</v>
      </c>
      <c r="B115" s="456" t="s">
        <v>1352</v>
      </c>
      <c r="C115" s="461">
        <v>8.0000000000000002E-3</v>
      </c>
      <c r="D115" s="456" t="s">
        <v>1179</v>
      </c>
      <c r="E115" s="458">
        <f ca="1">'9.0중기목록'!F38</f>
        <v>19373</v>
      </c>
      <c r="F115" s="458">
        <f t="shared" si="8"/>
        <v>154</v>
      </c>
      <c r="G115" s="458">
        <f ca="1">'9.0중기목록'!E38</f>
        <v>17696</v>
      </c>
      <c r="H115" s="458">
        <f t="shared" si="9"/>
        <v>141</v>
      </c>
      <c r="I115" s="458">
        <f ca="1">'9.0중기목록'!G38</f>
        <v>9529</v>
      </c>
      <c r="J115" s="458">
        <f t="shared" si="10"/>
        <v>76</v>
      </c>
      <c r="K115" s="459">
        <f t="shared" si="11"/>
        <v>371</v>
      </c>
      <c r="L115" s="442"/>
      <c r="M115" s="442"/>
      <c r="N115" s="442"/>
      <c r="O115" s="442"/>
      <c r="P115" s="442"/>
      <c r="Q115" s="442"/>
      <c r="R115" s="442"/>
      <c r="S115" s="442"/>
      <c r="T115" s="442"/>
      <c r="U115" s="442"/>
      <c r="V115" s="442"/>
      <c r="W115" s="442"/>
      <c r="X115" s="442"/>
    </row>
    <row r="116" spans="1:24" ht="26.85" customHeight="1">
      <c r="A116" s="455" t="s">
        <v>769</v>
      </c>
      <c r="B116" s="456" t="s">
        <v>770</v>
      </c>
      <c r="C116" s="461">
        <v>8.0000000000000002E-3</v>
      </c>
      <c r="D116" s="456" t="s">
        <v>1179</v>
      </c>
      <c r="E116" s="458">
        <f ca="1">'9.0중기목록'!F12</f>
        <v>6640</v>
      </c>
      <c r="F116" s="458">
        <f t="shared" si="8"/>
        <v>53</v>
      </c>
      <c r="G116" s="458">
        <f ca="1">'9.0중기목록'!E12</f>
        <v>17696</v>
      </c>
      <c r="H116" s="458">
        <f t="shared" si="9"/>
        <v>141</v>
      </c>
      <c r="I116" s="458">
        <f ca="1">'9.0중기목록'!G12</f>
        <v>10362</v>
      </c>
      <c r="J116" s="458">
        <f t="shared" si="10"/>
        <v>82</v>
      </c>
      <c r="K116" s="459">
        <f t="shared" si="11"/>
        <v>276</v>
      </c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</row>
    <row r="117" spans="1:24" ht="26.85" customHeight="1">
      <c r="A117" s="455" t="s">
        <v>1353</v>
      </c>
      <c r="B117" s="456" t="s">
        <v>1354</v>
      </c>
      <c r="C117" s="461">
        <v>8.0000000000000002E-3</v>
      </c>
      <c r="D117" s="456" t="s">
        <v>1179</v>
      </c>
      <c r="E117" s="458">
        <v>2348</v>
      </c>
      <c r="F117" s="458">
        <f t="shared" si="8"/>
        <v>18</v>
      </c>
      <c r="G117" s="458">
        <v>12817</v>
      </c>
      <c r="H117" s="458">
        <f t="shared" si="9"/>
        <v>102</v>
      </c>
      <c r="I117" s="458">
        <v>17893</v>
      </c>
      <c r="J117" s="458">
        <f t="shared" si="10"/>
        <v>143</v>
      </c>
      <c r="K117" s="459">
        <f t="shared" si="11"/>
        <v>263</v>
      </c>
      <c r="L117" s="442"/>
      <c r="M117" s="442"/>
      <c r="N117" s="442"/>
      <c r="O117" s="442"/>
      <c r="P117" s="442"/>
      <c r="Q117" s="442"/>
      <c r="R117" s="442"/>
      <c r="S117" s="442"/>
      <c r="T117" s="442"/>
      <c r="U117" s="442"/>
      <c r="V117" s="442"/>
      <c r="W117" s="442"/>
      <c r="X117" s="442"/>
    </row>
    <row r="118" spans="1:24" ht="26.85" customHeight="1">
      <c r="A118" s="455"/>
      <c r="B118" s="456"/>
      <c r="C118" s="461"/>
      <c r="D118" s="456"/>
      <c r="E118" s="458"/>
      <c r="F118" s="458"/>
      <c r="G118" s="458"/>
      <c r="H118" s="458"/>
      <c r="I118" s="458"/>
      <c r="J118" s="458"/>
      <c r="K118" s="459"/>
      <c r="L118" s="442"/>
      <c r="M118" s="442"/>
      <c r="N118" s="442"/>
      <c r="O118" s="442"/>
      <c r="P118" s="442"/>
      <c r="Q118" s="442"/>
      <c r="R118" s="442"/>
      <c r="S118" s="442"/>
      <c r="T118" s="442"/>
      <c r="U118" s="442"/>
      <c r="V118" s="442"/>
      <c r="W118" s="442"/>
      <c r="X118" s="442"/>
    </row>
    <row r="119" spans="1:24" ht="26.1" customHeight="1">
      <c r="A119" s="455" t="s">
        <v>1358</v>
      </c>
      <c r="B119" s="456"/>
      <c r="C119" s="476"/>
      <c r="D119" s="456"/>
      <c r="E119" s="453"/>
      <c r="F119" s="458">
        <f>SUM(F105:F118)</f>
        <v>20150</v>
      </c>
      <c r="G119" s="453"/>
      <c r="H119" s="458">
        <f>SUM(H105:H118)</f>
        <v>3103</v>
      </c>
      <c r="I119" s="458"/>
      <c r="J119" s="458">
        <f>SUM(J105:J118)</f>
        <v>363</v>
      </c>
      <c r="K119" s="520">
        <f>+J119+H119+F119</f>
        <v>23616</v>
      </c>
    </row>
    <row r="120" spans="1:24" ht="26.85" customHeight="1">
      <c r="A120" s="455"/>
      <c r="B120" s="460"/>
      <c r="C120" s="470"/>
      <c r="D120" s="456"/>
      <c r="E120" s="458"/>
      <c r="F120" s="458"/>
      <c r="G120" s="453"/>
      <c r="H120" s="453"/>
      <c r="I120" s="453"/>
      <c r="J120" s="453"/>
      <c r="K120" s="459"/>
    </row>
    <row r="121" spans="1:24" ht="26.85" customHeight="1">
      <c r="A121" s="455"/>
      <c r="B121" s="460"/>
      <c r="C121" s="470"/>
      <c r="D121" s="456"/>
      <c r="E121" s="458"/>
      <c r="F121" s="458"/>
      <c r="G121" s="453"/>
      <c r="H121" s="453"/>
      <c r="I121" s="453"/>
      <c r="J121" s="453"/>
      <c r="K121" s="459"/>
    </row>
    <row r="122" spans="1:24" ht="26.85" customHeight="1">
      <c r="A122" s="455"/>
      <c r="B122" s="460"/>
      <c r="C122" s="470"/>
      <c r="D122" s="456"/>
      <c r="E122" s="458"/>
      <c r="F122" s="458"/>
      <c r="G122" s="453"/>
      <c r="H122" s="453"/>
      <c r="I122" s="453"/>
      <c r="J122" s="453"/>
      <c r="K122" s="459"/>
    </row>
    <row r="123" spans="1:24" ht="26.85" customHeight="1">
      <c r="A123" s="455"/>
      <c r="B123" s="456"/>
      <c r="C123" s="470"/>
      <c r="D123" s="456"/>
      <c r="E123" s="458"/>
      <c r="F123" s="458"/>
      <c r="G123" s="453"/>
      <c r="H123" s="453"/>
      <c r="I123" s="453"/>
      <c r="J123" s="453"/>
      <c r="K123" s="459"/>
    </row>
    <row r="124" spans="1:24" ht="26.85" customHeight="1">
      <c r="A124" s="455"/>
      <c r="B124" s="456"/>
      <c r="C124" s="470"/>
      <c r="D124" s="456"/>
      <c r="E124" s="458"/>
      <c r="F124" s="458"/>
      <c r="G124" s="453"/>
      <c r="H124" s="453"/>
      <c r="I124" s="453"/>
      <c r="J124" s="453"/>
      <c r="K124" s="459"/>
    </row>
    <row r="125" spans="1:24" ht="26.85" customHeight="1">
      <c r="A125" s="455"/>
      <c r="B125" s="460"/>
      <c r="C125" s="470"/>
      <c r="D125" s="456"/>
      <c r="E125" s="458"/>
      <c r="F125" s="458"/>
      <c r="G125" s="453"/>
      <c r="H125" s="453"/>
      <c r="I125" s="453"/>
      <c r="J125" s="453"/>
      <c r="K125" s="459"/>
    </row>
    <row r="126" spans="1:24" ht="26.85" customHeight="1">
      <c r="A126" s="455"/>
      <c r="B126" s="456"/>
      <c r="C126" s="471"/>
      <c r="D126" s="456"/>
      <c r="E126" s="453"/>
      <c r="F126" s="453"/>
      <c r="G126" s="453"/>
      <c r="H126" s="458"/>
      <c r="I126" s="453"/>
      <c r="J126" s="453"/>
      <c r="K126" s="459"/>
    </row>
    <row r="127" spans="1:24" ht="26.85" customHeight="1">
      <c r="A127" s="455"/>
      <c r="B127" s="456"/>
      <c r="C127" s="471"/>
      <c r="D127" s="456"/>
      <c r="E127" s="453"/>
      <c r="F127" s="453"/>
      <c r="G127" s="458"/>
      <c r="H127" s="458"/>
      <c r="I127" s="453"/>
      <c r="J127" s="453"/>
      <c r="K127" s="459"/>
    </row>
    <row r="128" spans="1:24" ht="26.85" customHeight="1">
      <c r="A128" s="455"/>
      <c r="B128" s="456"/>
      <c r="C128" s="471"/>
      <c r="D128" s="456"/>
      <c r="E128" s="458"/>
      <c r="F128" s="458"/>
      <c r="G128" s="458"/>
      <c r="H128" s="458"/>
      <c r="I128" s="458"/>
      <c r="J128" s="458"/>
      <c r="K128" s="459"/>
    </row>
    <row r="129" spans="1:11" ht="26.85" customHeight="1">
      <c r="A129" s="455"/>
      <c r="B129" s="456"/>
      <c r="C129" s="471"/>
      <c r="D129" s="456"/>
      <c r="E129" s="458"/>
      <c r="F129" s="458"/>
      <c r="G129" s="458"/>
      <c r="H129" s="458"/>
      <c r="I129" s="458"/>
      <c r="J129" s="458"/>
      <c r="K129" s="459"/>
    </row>
    <row r="130" spans="1:11" ht="26.85" customHeight="1">
      <c r="A130" s="455"/>
      <c r="B130" s="456"/>
      <c r="C130" s="471"/>
      <c r="D130" s="456"/>
      <c r="E130" s="458"/>
      <c r="F130" s="458"/>
      <c r="G130" s="458"/>
      <c r="H130" s="458"/>
      <c r="I130" s="458"/>
      <c r="J130" s="458"/>
      <c r="K130" s="459"/>
    </row>
    <row r="131" spans="1:11" ht="26.85" customHeight="1">
      <c r="A131" s="455"/>
      <c r="B131" s="456"/>
      <c r="C131" s="471"/>
      <c r="D131" s="456"/>
      <c r="E131" s="458"/>
      <c r="F131" s="458"/>
      <c r="G131" s="458"/>
      <c r="H131" s="458"/>
      <c r="I131" s="458"/>
      <c r="J131" s="458"/>
      <c r="K131" s="459"/>
    </row>
    <row r="132" spans="1:11" ht="26.85" customHeight="1">
      <c r="A132" s="455"/>
      <c r="B132" s="456"/>
      <c r="C132" s="471"/>
      <c r="D132" s="456"/>
      <c r="E132" s="453"/>
      <c r="F132" s="453"/>
      <c r="G132" s="453"/>
      <c r="H132" s="453"/>
      <c r="I132" s="458"/>
      <c r="J132" s="458"/>
      <c r="K132" s="459"/>
    </row>
    <row r="133" spans="1:11" ht="26.85" customHeight="1">
      <c r="A133" s="455"/>
      <c r="B133" s="456"/>
      <c r="C133" s="476"/>
      <c r="D133" s="456"/>
      <c r="E133" s="453"/>
      <c r="F133" s="458"/>
      <c r="G133" s="453"/>
      <c r="H133" s="453"/>
      <c r="I133" s="458"/>
      <c r="J133" s="458"/>
      <c r="K133" s="459"/>
    </row>
    <row r="134" spans="1:11" ht="26.85" customHeight="1">
      <c r="A134" s="455"/>
      <c r="B134" s="456"/>
      <c r="C134" s="476"/>
      <c r="D134" s="456"/>
      <c r="E134" s="453"/>
      <c r="F134" s="453"/>
      <c r="G134" s="453"/>
      <c r="H134" s="458"/>
      <c r="I134" s="458"/>
      <c r="J134" s="458"/>
      <c r="K134" s="459"/>
    </row>
    <row r="135" spans="1:11" ht="26.85" customHeight="1">
      <c r="A135" s="455"/>
      <c r="B135" s="460"/>
      <c r="C135" s="476"/>
      <c r="D135" s="456"/>
      <c r="E135" s="453"/>
      <c r="F135" s="453"/>
      <c r="G135" s="453"/>
      <c r="H135" s="453"/>
      <c r="I135" s="453"/>
      <c r="J135" s="453"/>
      <c r="K135" s="459"/>
    </row>
    <row r="136" spans="1:11" ht="26.85" customHeight="1">
      <c r="A136" s="455"/>
      <c r="B136" s="456"/>
      <c r="C136" s="476"/>
      <c r="D136" s="456"/>
      <c r="E136" s="453"/>
      <c r="F136" s="458"/>
      <c r="G136" s="478"/>
      <c r="H136" s="458"/>
      <c r="I136" s="478"/>
      <c r="J136" s="458"/>
      <c r="K136" s="459"/>
    </row>
    <row r="137" spans="1:11" ht="26.85" customHeight="1">
      <c r="A137" s="455"/>
      <c r="B137" s="456"/>
      <c r="C137" s="471"/>
      <c r="D137" s="456"/>
      <c r="E137" s="453"/>
      <c r="F137" s="453"/>
      <c r="G137" s="453"/>
      <c r="H137" s="458"/>
      <c r="I137" s="453"/>
      <c r="J137" s="453"/>
      <c r="K137" s="459"/>
    </row>
    <row r="138" spans="1:11" ht="26.85" customHeight="1">
      <c r="A138" s="463"/>
      <c r="B138" s="464"/>
      <c r="C138" s="477"/>
      <c r="D138" s="464"/>
      <c r="E138" s="466"/>
      <c r="F138" s="466"/>
      <c r="G138" s="466"/>
      <c r="H138" s="466"/>
      <c r="I138" s="479"/>
      <c r="J138" s="479"/>
      <c r="K138" s="467"/>
    </row>
  </sheetData>
  <mergeCells count="24">
    <mergeCell ref="G102:H102"/>
    <mergeCell ref="E65:F65"/>
    <mergeCell ref="I102:J102"/>
    <mergeCell ref="A65:A66"/>
    <mergeCell ref="B65:B66"/>
    <mergeCell ref="C65:C66"/>
    <mergeCell ref="D65:D66"/>
    <mergeCell ref="I65:J65"/>
    <mergeCell ref="A104:F104"/>
    <mergeCell ref="A102:A103"/>
    <mergeCell ref="B102:B103"/>
    <mergeCell ref="A67:F67"/>
    <mergeCell ref="A85:F85"/>
    <mergeCell ref="C102:C103"/>
    <mergeCell ref="D102:D103"/>
    <mergeCell ref="E102:F102"/>
    <mergeCell ref="D28:E28"/>
    <mergeCell ref="G65:H65"/>
    <mergeCell ref="C21:H21"/>
    <mergeCell ref="D23:E23"/>
    <mergeCell ref="D24:E24"/>
    <mergeCell ref="D25:E25"/>
    <mergeCell ref="D26:E26"/>
    <mergeCell ref="D27:E27"/>
  </mergeCells>
  <phoneticPr fontId="53" type="noConversion"/>
  <printOptions horizontalCentered="1"/>
  <pageMargins left="0.82677165354330717" right="0.55118110236220474" top="0.98425196850393704" bottom="0.86614173228346458" header="0.51181102362204722" footer="0.51181102362204722"/>
  <pageSetup paperSize="9" scale="70" orientation="portrait" horizontalDpi="4294967295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73</vt:i4>
      </vt:variant>
      <vt:variant>
        <vt:lpstr>이름이 지정된 범위</vt:lpstr>
      </vt:variant>
      <vt:variant>
        <vt:i4>41</vt:i4>
      </vt:variant>
    </vt:vector>
  </HeadingPairs>
  <TitlesOfParts>
    <vt:vector size="114" baseType="lpstr">
      <vt:lpstr>001-잔디</vt:lpstr>
      <vt:lpstr>잔디-표지</vt:lpstr>
      <vt:lpstr>002-줄떼</vt:lpstr>
      <vt:lpstr>003-평떼</vt:lpstr>
      <vt:lpstr>이지그린매트-표지</vt:lpstr>
      <vt:lpstr>004-이지그린매트</vt:lpstr>
      <vt:lpstr>005-이지그린매트(A Type)</vt:lpstr>
      <vt:lpstr>006-이지그린매트(B Type)</vt:lpstr>
      <vt:lpstr>007-이지그린매트(C Type)</vt:lpstr>
      <vt:lpstr>테라토-표지</vt:lpstr>
      <vt:lpstr>테라토5-목록</vt:lpstr>
      <vt:lpstr>테라토5-일위대가</vt:lpstr>
      <vt:lpstr>테라토5-장비</vt:lpstr>
      <vt:lpstr>테라토5-장비기준</vt:lpstr>
      <vt:lpstr>테라토5-단가적용</vt:lpstr>
      <vt:lpstr>테라토7-목록</vt:lpstr>
      <vt:lpstr>테라토7-일위대가</vt:lpstr>
      <vt:lpstr>테라토7-장비</vt:lpstr>
      <vt:lpstr>테라토7-장비기준</vt:lpstr>
      <vt:lpstr>테라토7-단가적용</vt:lpstr>
      <vt:lpstr>테라토10-목록</vt:lpstr>
      <vt:lpstr>테라토10-일위대가</vt:lpstr>
      <vt:lpstr>테라토10-장비</vt:lpstr>
      <vt:lpstr>테라토10-장비기준</vt:lpstr>
      <vt:lpstr>테라토10-단가적용</vt:lpstr>
      <vt:lpstr>JSB-표지</vt:lpstr>
      <vt:lpstr>008-JSB무망-Seed형</vt:lpstr>
      <vt:lpstr>009-JSB무망-2CM</vt:lpstr>
      <vt:lpstr>010-JSB섬유망3CM</vt:lpstr>
      <vt:lpstr>011-JSB섬유망5CM</vt:lpstr>
      <vt:lpstr>012-JSB섬유망7CM</vt:lpstr>
      <vt:lpstr>013-JSB철망5CM</vt:lpstr>
      <vt:lpstr>014-JSB철망7CM</vt:lpstr>
      <vt:lpstr>015-JSB철망10CM</vt:lpstr>
      <vt:lpstr>016-JSB철망12CM</vt:lpstr>
      <vt:lpstr>ASNA-표지</vt:lpstr>
      <vt:lpstr>017-ASNA-일위대가(무망0.5~유망5)</vt:lpstr>
      <vt:lpstr>018-ASNA-자재산출근거</vt:lpstr>
      <vt:lpstr>019-ASNA-노무비산출근거</vt:lpstr>
      <vt:lpstr>020-ASNA-중기산출근거</vt:lpstr>
      <vt:lpstr>021-ASNA-중기목록</vt:lpstr>
      <vt:lpstr>SF-표지</vt:lpstr>
      <vt:lpstr>022-SF-SEED~철망5CM</vt:lpstr>
      <vt:lpstr>NGR-표지</vt:lpstr>
      <vt:lpstr>027-NGR-코아네트SEED형</vt:lpstr>
      <vt:lpstr>MUDPACK-표지</vt:lpstr>
      <vt:lpstr>028-MUDPACK-spray</vt:lpstr>
      <vt:lpstr>029-MUDPACK-T=1cm</vt:lpstr>
      <vt:lpstr>030-MUDPACK-T=3cm </vt:lpstr>
      <vt:lpstr>031-MUDPACK-T=7cm</vt:lpstr>
      <vt:lpstr>032-MUDPACK-T=10cm</vt:lpstr>
      <vt:lpstr>033-MUDPACK-단가산출</vt:lpstr>
      <vt:lpstr>텍솔-표지</vt:lpstr>
      <vt:lpstr>034-텍솔</vt:lpstr>
      <vt:lpstr>1-잔디</vt:lpstr>
      <vt:lpstr>2-거적</vt:lpstr>
      <vt:lpstr>2- 코아넷</vt:lpstr>
      <vt:lpstr>JSB무망</vt:lpstr>
      <vt:lpstr>JSB섬유망</vt:lpstr>
      <vt:lpstr>JSB철망</vt:lpstr>
      <vt:lpstr>SF</vt:lpstr>
      <vt:lpstr>녹생토</vt:lpstr>
      <vt:lpstr>5-ASNA</vt:lpstr>
      <vt:lpstr>6-NGR</vt:lpstr>
      <vt:lpstr>텍솔</vt:lpstr>
      <vt:lpstr>8.0자재단가</vt:lpstr>
      <vt:lpstr>9.0중기목록</vt:lpstr>
      <vt:lpstr>10.0중기사용료</vt:lpstr>
      <vt:lpstr>11.0시중노임</vt:lpstr>
      <vt:lpstr>3.0수량표</vt:lpstr>
      <vt:lpstr>4-금비토</vt:lpstr>
      <vt:lpstr>3-탑쏘일</vt:lpstr>
      <vt:lpstr>CODRA</vt:lpstr>
      <vt:lpstr>'005-이지그린매트(A Type)'!Print_Area</vt:lpstr>
      <vt:lpstr>'006-이지그린매트(B Type)'!Print_Area</vt:lpstr>
      <vt:lpstr>'007-이지그린매트(C Type)'!Print_Area</vt:lpstr>
      <vt:lpstr>'010-JSB섬유망3CM'!Print_Area</vt:lpstr>
      <vt:lpstr>'011-JSB섬유망5CM'!Print_Area</vt:lpstr>
      <vt:lpstr>'012-JSB섬유망7CM'!Print_Area</vt:lpstr>
      <vt:lpstr>'013-JSB철망5CM'!Print_Area</vt:lpstr>
      <vt:lpstr>'014-JSB철망7CM'!Print_Area</vt:lpstr>
      <vt:lpstr>'015-JSB철망10CM'!Print_Area</vt:lpstr>
      <vt:lpstr>'016-JSB철망12CM'!Print_Area</vt:lpstr>
      <vt:lpstr>'022-SF-SEED~철망5CM'!Print_Area</vt:lpstr>
      <vt:lpstr>'027-NGR-코아네트SEED형'!Print_Area</vt:lpstr>
      <vt:lpstr>'028-MUDPACK-spray'!Print_Area</vt:lpstr>
      <vt:lpstr>'029-MUDPACK-T=1cm'!Print_Area</vt:lpstr>
      <vt:lpstr>'031-MUDPACK-T=7cm'!Print_Area</vt:lpstr>
      <vt:lpstr>'033-MUDPACK-단가산출'!Print_Area</vt:lpstr>
      <vt:lpstr>'4-금비토'!Print_Area</vt:lpstr>
      <vt:lpstr>'5-ASNA'!Print_Area</vt:lpstr>
      <vt:lpstr>'6-NGR'!Print_Area</vt:lpstr>
      <vt:lpstr>'8.0자재단가'!Print_Area</vt:lpstr>
      <vt:lpstr>'테라토10-일위대가'!Print_Area</vt:lpstr>
      <vt:lpstr>'테라토5-일위대가'!Print_Area</vt:lpstr>
      <vt:lpstr>'테라토7-일위대가'!Print_Area</vt:lpstr>
      <vt:lpstr>JSB섬유망!Print_Area</vt:lpstr>
      <vt:lpstr>JSB철망!Print_Area</vt:lpstr>
      <vt:lpstr>'004-이지그린매트'!Print_Titles</vt:lpstr>
      <vt:lpstr>'005-이지그린매트(A Type)'!Print_Titles</vt:lpstr>
      <vt:lpstr>'006-이지그린매트(B Type)'!Print_Titles</vt:lpstr>
      <vt:lpstr>'007-이지그린매트(C Type)'!Print_Titles</vt:lpstr>
      <vt:lpstr>'017-ASNA-일위대가(무망0.5~유망5)'!Print_Titles</vt:lpstr>
      <vt:lpstr>'022-SF-SEED~철망5CM'!Print_Titles</vt:lpstr>
      <vt:lpstr>'033-MUDPACK-단가산출'!Print_Titles</vt:lpstr>
      <vt:lpstr>'11.0시중노임'!Print_Titles</vt:lpstr>
      <vt:lpstr>'8.0자재단가'!Print_Titles</vt:lpstr>
      <vt:lpstr>'9.0중기목록'!Print_Titles</vt:lpstr>
      <vt:lpstr>'테라토10-목록'!Print_Titles</vt:lpstr>
      <vt:lpstr>'테라토10-일위대가'!Print_Titles</vt:lpstr>
      <vt:lpstr>'테라토5-목록'!Print_Titles</vt:lpstr>
      <vt:lpstr>'테라토5-일위대가'!Print_Titles</vt:lpstr>
      <vt:lpstr>'테라토7-목록'!Print_Titles</vt:lpstr>
      <vt:lpstr>'테라토7-일위대가'!Print_Titles</vt:lpstr>
    </vt:vector>
  </TitlesOfParts>
  <Company>한국법면보호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일위대가종합</dc:title>
  <dc:subject>하반기노임적용</dc:subject>
  <dc:creator>허연행</dc:creator>
  <cp:lastModifiedBy>e2430</cp:lastModifiedBy>
  <cp:lastPrinted>2010-01-13T06:13:19Z</cp:lastPrinted>
  <dcterms:created xsi:type="dcterms:W3CDTF">2000-03-17T02:30:47Z</dcterms:created>
  <dcterms:modified xsi:type="dcterms:W3CDTF">2010-01-14T11:35:04Z</dcterms:modified>
</cp:coreProperties>
</file>